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mc:AlternateContent xmlns:mc="http://schemas.openxmlformats.org/markup-compatibility/2006">
    <mc:Choice Requires="x15">
      <x15ac:absPath xmlns:x15ac="http://schemas.microsoft.com/office/spreadsheetml/2010/11/ac" url="https://connselmer-my.sharepoint.com/personal/gdevore_connselmer_com/Documents/Documents/Order Guides/"/>
    </mc:Choice>
  </mc:AlternateContent>
  <xr:revisionPtr revIDLastSave="30" documentId="8_{D0D47864-BB6D-48FF-8C93-3EF50FC936E1}" xr6:coauthVersionLast="47" xr6:coauthVersionMax="47" xr10:uidLastSave="{A344F388-1219-4B10-999D-059C25D86152}"/>
  <bookViews>
    <workbookView xWindow="28680" yWindow="-120" windowWidth="29040" windowHeight="15840" xr2:uid="{00000000-000D-0000-FFFF-FFFF00000000}"/>
  </bookViews>
  <sheets>
    <sheet name="Outfitter" sheetId="1" r:id="rId1"/>
  </sheets>
  <definedNames>
    <definedName name="_xlnm._FilterDatabase" localSheetId="0" hidden="1">Outfitter!$AG$2:$AK$97</definedName>
    <definedName name="AnyBrkt.Classic">Outfitter!$DW$91:$DW$96</definedName>
    <definedName name="AnyBrkt.Long">Outfitter!$DW$81:$DW$85</definedName>
    <definedName name="Badge">Outfitter!$AB$77</definedName>
    <definedName name="Bass_DblSngl">Outfitter!$GE$8:$GE$20</definedName>
    <definedName name="Bass_Mounts">Outfitter!$DW$3:$DW$9</definedName>
    <definedName name="BD_Front_Head">Outfitter!$AE$24:$AE$25</definedName>
    <definedName name="bd_screws">Outfitter!$EW$23</definedName>
    <definedName name="Black_Cat">Outfitter!$EN$14:$EN$16</definedName>
    <definedName name="CD_Bass_Mounts">Outfitter!$DW$3</definedName>
    <definedName name="Classic_Maple_Badge">Outfitter!$AB$80:$AB$82</definedName>
    <definedName name="Classic_Maple_Bass_Size">Outfitter!$BS$3:$BS$22</definedName>
    <definedName name="Classic_Maple_Finish">Outfitter!$BI$3:$BI$54</definedName>
    <definedName name="Classic_Maple_Floor_Size">Outfitter!$BS$26:$BS$35</definedName>
    <definedName name="Classic_Maple_Snare_Size">Outfitter!$BS$70:$BS$80</definedName>
    <definedName name="Classic_Maple_Tom_Size">Outfitter!$BS$39:$BS$65</definedName>
    <definedName name="Classic_Oak_Badge">Outfitter!$AB$96:$AB$97</definedName>
    <definedName name="Classic_Oak_Bass_Size">Outfitter!$CH$3:$CH$22</definedName>
    <definedName name="Classic_Oak_Finish">Outfitter!$BM$3:$BM$31</definedName>
    <definedName name="Classic_Oak_Floor_Size">Outfitter!$CH$26:$CH$35</definedName>
    <definedName name="Classic_Oak_Snare_Size">Outfitter!$CH$70:$CH$80</definedName>
    <definedName name="Classic_Oak_Tom_Size">Outfitter!$CH$41:$CH$65</definedName>
    <definedName name="Clear_All">Outfitter!$C$2:$C$5,Outfitter!$G$2:$G$3,Outfitter!$B$8:$C$20,Outfitter!$E$8:$E$20,Outfitter!$G$8:$G$20,Outfitter!$G$22:$G$25,Outfitter!$G$27:$G$30,Outfitter!$G$32:$G$33,Outfitter!$G$35:$G$36,Outfitter!$G$41:$G$42,Outfitter!$G$44:$G$47,Outfitter!$G$49:$G$50,Outfitter!$G$38:$G$39</definedName>
    <definedName name="Cortex">Outfitter!$EK$8:$EK$13</definedName>
    <definedName name="DblSngl">Outfitter!$GD$31</definedName>
    <definedName name="Diagonal">Outfitter!$H$24:$H$26,Outfitter!$L$27:$L$29</definedName>
    <definedName name="Discount">Outfitter!$CW$105:$DF$105</definedName>
    <definedName name="Double">Outfitter!$GC$31</definedName>
    <definedName name="Edges_Classic_Maple">Outfitter!$EU$5:$EV$5</definedName>
    <definedName name="Edges_Classic_Oak">Outfitter!$ET$9</definedName>
    <definedName name="Edges_Legacy_Exotic">Outfitter!$ET$8</definedName>
    <definedName name="Edges_Legacy_Mahogany">Outfitter!$ET$7</definedName>
    <definedName name="Edges_Legacy_Maple">Outfitter!$ET$6</definedName>
    <definedName name="Floor_DblSngl">Outfitter!$GD$8:$GD$20</definedName>
    <definedName name="Floor_Mounts">Outfitter!$DW$26:$DW$29</definedName>
    <definedName name="IntFin_Choice">Outfitter!$AN$23:$AO$23</definedName>
    <definedName name="IntFin_Clear">Outfitter!$AN$22</definedName>
    <definedName name="Legacy_Exotic_Badge">Outfitter!$AB$92:$AB$94</definedName>
    <definedName name="Legacy_Exotic_Bass_Size">Outfitter!$CE$3:$CE$23</definedName>
    <definedName name="Legacy_Exotic_Finish">Outfitter!$BL$3:$BL$24</definedName>
    <definedName name="Legacy_Exotic_Floor_Size">Outfitter!$CE$26:$CE$35</definedName>
    <definedName name="Legacy_Exotic_Snare_Size">Outfitter!$CE$70:$CE$79</definedName>
    <definedName name="Legacy_Exotic_Tom_Size">Outfitter!$CE$44:$CE$67</definedName>
    <definedName name="Legacy_Exotic_Type">Outfitter!$AF$119:$AF$122</definedName>
    <definedName name="Legacy_Mahogany_Badge">Outfitter!$AB$88:$AB$90</definedName>
    <definedName name="Legacy_Mahogany_Bass_Size">Outfitter!$CA$3:$CA$23</definedName>
    <definedName name="Legacy_Mahogany_Finish">Outfitter!$BK$3:$BK$30</definedName>
    <definedName name="Legacy_Mahogany_Floor_Size">Outfitter!$CA$26:$CA$35</definedName>
    <definedName name="Legacy_Mahogany_Snare_Size">Outfitter!$CA$70:$CA$79</definedName>
    <definedName name="Legacy_Mahogany_Tom_Size">Outfitter!$CA$44:$CA$67</definedName>
    <definedName name="Legacy_Maple_Badge">Outfitter!$AB$84:$AB$86</definedName>
    <definedName name="Legacy_Maple_Bass_Size">Outfitter!$BW$3:$BW$23</definedName>
    <definedName name="Legacy_Maple_Finish">Outfitter!$BJ$3:$BJ$29</definedName>
    <definedName name="Legacy_Maple_Floor_Size">Outfitter!$BW$26:$BW$35</definedName>
    <definedName name="Legacy_Maple_Snare_size">Outfitter!$BW$70:$BW$79</definedName>
    <definedName name="Legacy_Maple_Tom_Size">Outfitter!$BW$44:$BW$67</definedName>
    <definedName name="LL_Bass_Mounts">Outfitter!$DW$3:$DW$8</definedName>
    <definedName name="LL_Floor_Mounts">Outfitter!$DW$26:$DW$28</definedName>
    <definedName name="MH">Outfitter!$EL$8</definedName>
    <definedName name="ML">Outfitter!$DF$77</definedName>
    <definedName name="MLLC">Outfitter!$DF$78:$DG$78</definedName>
    <definedName name="MLLCLL">Outfitter!$DF$79:$DH$79</definedName>
    <definedName name="MLLCLLLILT">Outfitter!$DF$80:$DJ$80</definedName>
    <definedName name="MLLCLLSIST">Outfitter!$DF$81:$DJ$81</definedName>
    <definedName name="MLLTSI">Outfitter!$DF$88:$DH$88</definedName>
    <definedName name="MLLTSISTTB">Outfitter!$DF$85:$DJ$85</definedName>
    <definedName name="MLSI">Outfitter!$DF$87:$DG$87</definedName>
    <definedName name="MLSIST">Outfitter!$DF$82:$DH$82</definedName>
    <definedName name="MLSISTTB">Outfitter!$DF$86:$DI$86</definedName>
    <definedName name="Mounts">Outfitter!$G$8:$G$20</definedName>
    <definedName name="Naturals">Outfitter!$E$23</definedName>
    <definedName name="No_Shell_Mount">Outfitter!$EC$11</definedName>
    <definedName name="OakSpray">Outfitter!$EL$14</definedName>
    <definedName name="PDC">Outfitter!$BS$104</definedName>
    <definedName name="_xlnm.Print_Area" localSheetId="0">Print_Area_Formula</definedName>
    <definedName name="Print_Area_Formula">OFFSET(Outfitter!$GT$4,0,0,29,Outfitter!$GR$5)</definedName>
    <definedName name="_xlnm.Print_Titles" localSheetId="0">Outfitter!$GS:$GS,Outfitter!$1:$3</definedName>
    <definedName name="PTTB">Outfitter!$DF$83:$DG$83</definedName>
    <definedName name="Sable">Outfitter!$EN$8:$EN$8</definedName>
    <definedName name="Satins">Outfitter!$EO$8:$EO$9</definedName>
    <definedName name="sdBedChoice">Outfitter!$GH$31</definedName>
    <definedName name="sdBedNoChoice">Outfitter!$GH$32</definedName>
    <definedName name="Shell">Outfitter!$AE$3:$AE$7</definedName>
    <definedName name="Shell_Mount">Outfitter!$EC$3:$EC$5</definedName>
    <definedName name="ShellOnly.Classic">Outfitter!$DW$73:$DW$76</definedName>
    <definedName name="ShellOnly.Long">Outfitter!$DW$66:$DW$68</definedName>
    <definedName name="SISTTB">Outfitter!$DF$84:$DH$84</definedName>
    <definedName name="SN0N">Outfitter!$EP$8</definedName>
    <definedName name="Snare_Mounts">Outfitter!$DW$33:$DW$36</definedName>
    <definedName name="Sprays">Outfitter!$EM$8:$EM$9</definedName>
    <definedName name="Spurs_AECFN">Outfitter!$FC$62:$FF$62</definedName>
    <definedName name="Spurs_AEFN">Outfitter!$FC$65:$FE$65</definedName>
    <definedName name="Spurs_ECFN">Outfitter!$FC$63:$FE$63</definedName>
    <definedName name="Spurs_EFN">Outfitter!$FC$66:$FD$66</definedName>
    <definedName name="Spurs_FN">Outfitter!$FC$64</definedName>
    <definedName name="Throw_P80">Outfitter!$DV$52</definedName>
    <definedName name="Throws_85_86_88">Outfitter!$DV$43:$DW$43</definedName>
    <definedName name="Tom_DblSngl">Outfitter!$GC$8:$GC$20</definedName>
    <definedName name="Tom_Mounts">Outfitter!$DW$16:$DW$21</definedName>
    <definedName name="Triple_Flange">Outfitter!$BS$103</definedName>
    <definedName name="Type">Outfitter!$AE$10:$AE$13</definedName>
    <definedName name="Wraps">Outfitter!$BJ$3:$BJ$29</definedName>
    <definedName name="WrapsSN">Outfitter!$EJ$8:$EJ$16</definedName>
    <definedName name="WrapsST">Outfitter!$EI$8:$EI$16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U127" i="1" l="1"/>
  <c r="CU126" i="1"/>
  <c r="CU125" i="1"/>
  <c r="CU124" i="1"/>
  <c r="CU123" i="1"/>
  <c r="CU122" i="1"/>
  <c r="CU121" i="1"/>
  <c r="CU120" i="1"/>
  <c r="CU119" i="1"/>
  <c r="CU118" i="1"/>
  <c r="CU117" i="1"/>
  <c r="CU116" i="1"/>
  <c r="CU115" i="1"/>
  <c r="CU114" i="1"/>
  <c r="CU113" i="1"/>
  <c r="CU112" i="1"/>
  <c r="CU111" i="1"/>
  <c r="CU110" i="1"/>
  <c r="CU109" i="1"/>
  <c r="CU108" i="1"/>
  <c r="DF127" i="1" l="1"/>
  <c r="DF126" i="1"/>
  <c r="DF125" i="1"/>
  <c r="DF124" i="1"/>
  <c r="DF123" i="1"/>
  <c r="DF122" i="1"/>
  <c r="DF121" i="1"/>
  <c r="DF120" i="1"/>
  <c r="DF119" i="1"/>
  <c r="DF118" i="1"/>
  <c r="DF117" i="1"/>
  <c r="DF116" i="1"/>
  <c r="DF115" i="1"/>
  <c r="DF114" i="1"/>
  <c r="DF113" i="1"/>
  <c r="DF112" i="1"/>
  <c r="DF111" i="1"/>
  <c r="DF110" i="1"/>
  <c r="DF109" i="1"/>
  <c r="DE127" i="1"/>
  <c r="DE126" i="1"/>
  <c r="DE125" i="1"/>
  <c r="DE124" i="1"/>
  <c r="DE123" i="1"/>
  <c r="DE122" i="1"/>
  <c r="DE121" i="1"/>
  <c r="DE120" i="1"/>
  <c r="DE119" i="1"/>
  <c r="DE118" i="1"/>
  <c r="DE117" i="1"/>
  <c r="DE116" i="1"/>
  <c r="DE115" i="1"/>
  <c r="DE114" i="1"/>
  <c r="DE113" i="1"/>
  <c r="DE112" i="1"/>
  <c r="DE111" i="1"/>
  <c r="DE110" i="1"/>
  <c r="DE109" i="1"/>
  <c r="DD127" i="1"/>
  <c r="DD126" i="1"/>
  <c r="DD125" i="1"/>
  <c r="DD124" i="1"/>
  <c r="DD123" i="1"/>
  <c r="DD122" i="1"/>
  <c r="DD121" i="1"/>
  <c r="DD120" i="1"/>
  <c r="DD119" i="1"/>
  <c r="DD118" i="1"/>
  <c r="DD117" i="1"/>
  <c r="DD116" i="1"/>
  <c r="DD115" i="1"/>
  <c r="DD114" i="1"/>
  <c r="DD113" i="1"/>
  <c r="DD112" i="1"/>
  <c r="DD111" i="1"/>
  <c r="DD110" i="1"/>
  <c r="DD109" i="1"/>
  <c r="DC127" i="1"/>
  <c r="DB127" i="1"/>
  <c r="DA127" i="1"/>
  <c r="CZ127" i="1"/>
  <c r="CY127" i="1"/>
  <c r="CX127" i="1"/>
  <c r="DC126" i="1"/>
  <c r="DB126" i="1"/>
  <c r="DA126" i="1"/>
  <c r="CZ126" i="1"/>
  <c r="CY126" i="1"/>
  <c r="CX126" i="1"/>
  <c r="DC125" i="1"/>
  <c r="DB125" i="1"/>
  <c r="DA125" i="1"/>
  <c r="CZ125" i="1"/>
  <c r="CY125" i="1"/>
  <c r="CX125" i="1"/>
  <c r="DC124" i="1"/>
  <c r="DB124" i="1"/>
  <c r="DA124" i="1"/>
  <c r="CZ124" i="1"/>
  <c r="CY124" i="1"/>
  <c r="CX124" i="1"/>
  <c r="DC123" i="1"/>
  <c r="DB123" i="1"/>
  <c r="DA123" i="1"/>
  <c r="CZ123" i="1"/>
  <c r="CY123" i="1"/>
  <c r="CX123" i="1"/>
  <c r="DC122" i="1"/>
  <c r="DB122" i="1"/>
  <c r="DA122" i="1"/>
  <c r="CZ122" i="1"/>
  <c r="CY122" i="1"/>
  <c r="CX122" i="1"/>
  <c r="DC121" i="1"/>
  <c r="DB121" i="1"/>
  <c r="DA121" i="1"/>
  <c r="CZ121" i="1"/>
  <c r="CY121" i="1"/>
  <c r="CX121" i="1"/>
  <c r="DC120" i="1"/>
  <c r="DB120" i="1"/>
  <c r="DA120" i="1"/>
  <c r="CZ120" i="1"/>
  <c r="CY120" i="1"/>
  <c r="CX120" i="1"/>
  <c r="DC119" i="1"/>
  <c r="DB119" i="1"/>
  <c r="DA119" i="1"/>
  <c r="CZ119" i="1"/>
  <c r="CY119" i="1"/>
  <c r="CX119" i="1"/>
  <c r="DC118" i="1"/>
  <c r="DB118" i="1"/>
  <c r="DA118" i="1"/>
  <c r="CZ118" i="1"/>
  <c r="CY118" i="1"/>
  <c r="CX118" i="1"/>
  <c r="DC117" i="1"/>
  <c r="DB117" i="1"/>
  <c r="DA117" i="1"/>
  <c r="CZ117" i="1"/>
  <c r="CY117" i="1"/>
  <c r="CX117" i="1"/>
  <c r="DC116" i="1"/>
  <c r="DB116" i="1"/>
  <c r="DA116" i="1"/>
  <c r="CZ116" i="1"/>
  <c r="CY116" i="1"/>
  <c r="CX116" i="1"/>
  <c r="DC115" i="1"/>
  <c r="DB115" i="1"/>
  <c r="DA115" i="1"/>
  <c r="CZ115" i="1"/>
  <c r="CY115" i="1"/>
  <c r="CX115" i="1"/>
  <c r="DC114" i="1"/>
  <c r="DB114" i="1"/>
  <c r="DA114" i="1"/>
  <c r="CZ114" i="1"/>
  <c r="CY114" i="1"/>
  <c r="CX114" i="1"/>
  <c r="DC113" i="1"/>
  <c r="DB113" i="1"/>
  <c r="DA113" i="1"/>
  <c r="CZ113" i="1"/>
  <c r="CY113" i="1"/>
  <c r="CX113" i="1"/>
  <c r="DC112" i="1"/>
  <c r="DB112" i="1"/>
  <c r="DA112" i="1"/>
  <c r="CZ112" i="1"/>
  <c r="CY112" i="1"/>
  <c r="CX112" i="1"/>
  <c r="DC111" i="1"/>
  <c r="DB111" i="1"/>
  <c r="DA111" i="1"/>
  <c r="CZ111" i="1"/>
  <c r="CY111" i="1"/>
  <c r="CX111" i="1"/>
  <c r="DC110" i="1"/>
  <c r="DB110" i="1"/>
  <c r="DA110" i="1"/>
  <c r="CZ110" i="1"/>
  <c r="CY110" i="1"/>
  <c r="CX110" i="1"/>
  <c r="DC109" i="1"/>
  <c r="DB109" i="1"/>
  <c r="DA109" i="1"/>
  <c r="CZ109" i="1"/>
  <c r="CY109" i="1"/>
  <c r="CX109" i="1"/>
  <c r="DG127" i="1"/>
  <c r="DG126" i="1"/>
  <c r="DG125" i="1"/>
  <c r="DG124" i="1"/>
  <c r="DG123" i="1"/>
  <c r="DG122" i="1"/>
  <c r="DG121" i="1"/>
  <c r="DG120" i="1"/>
  <c r="DG119" i="1"/>
  <c r="DG118" i="1"/>
  <c r="DG117" i="1"/>
  <c r="DG116" i="1"/>
  <c r="DG115" i="1"/>
  <c r="DG114" i="1"/>
  <c r="DG113" i="1"/>
  <c r="DG112" i="1"/>
  <c r="DG111" i="1"/>
  <c r="DG110" i="1"/>
  <c r="DG109" i="1"/>
  <c r="DG108" i="1"/>
  <c r="CW127" i="1"/>
  <c r="CW126" i="1"/>
  <c r="CW125" i="1"/>
  <c r="CW124" i="1"/>
  <c r="CW123" i="1"/>
  <c r="CW122" i="1"/>
  <c r="CW121" i="1"/>
  <c r="CW120" i="1"/>
  <c r="CW119" i="1"/>
  <c r="CW118" i="1"/>
  <c r="CW117" i="1"/>
  <c r="CW116" i="1"/>
  <c r="CW115" i="1"/>
  <c r="CW114" i="1"/>
  <c r="CW113" i="1"/>
  <c r="CW112" i="1"/>
  <c r="CW111" i="1"/>
  <c r="CW110" i="1"/>
  <c r="CW109" i="1"/>
  <c r="CW108" i="1"/>
  <c r="DF108" i="1"/>
  <c r="DE108" i="1"/>
  <c r="DD108" i="1"/>
  <c r="DC108" i="1"/>
  <c r="DB108" i="1"/>
  <c r="DA108" i="1"/>
  <c r="CZ108" i="1"/>
  <c r="CY108" i="1"/>
  <c r="CX108" i="1"/>
  <c r="AT906" i="1" l="1"/>
  <c r="AT907" i="1"/>
  <c r="AT908" i="1"/>
  <c r="AT909" i="1"/>
  <c r="AT910" i="1"/>
  <c r="AT911" i="1"/>
  <c r="AT912" i="1"/>
  <c r="AT913" i="1"/>
  <c r="AT914" i="1"/>
  <c r="AT915" i="1"/>
  <c r="AT916" i="1"/>
  <c r="AT917" i="1"/>
  <c r="AT918" i="1"/>
  <c r="AT919" i="1"/>
  <c r="AT920" i="1"/>
  <c r="AT921" i="1"/>
  <c r="AT922" i="1"/>
  <c r="AT923" i="1"/>
  <c r="AT924" i="1"/>
  <c r="AT925" i="1"/>
  <c r="AT926" i="1"/>
  <c r="AT927" i="1"/>
  <c r="AT928" i="1"/>
  <c r="AT929" i="1"/>
  <c r="AT930" i="1"/>
  <c r="AT931" i="1"/>
  <c r="AT932" i="1"/>
  <c r="AT933" i="1"/>
  <c r="AT934" i="1"/>
  <c r="AT935" i="1"/>
  <c r="AT936" i="1"/>
  <c r="AT937" i="1"/>
  <c r="AT938" i="1"/>
  <c r="AT939" i="1"/>
  <c r="AT940" i="1"/>
  <c r="AT941" i="1"/>
  <c r="AT942" i="1"/>
  <c r="AT943" i="1"/>
  <c r="AT944" i="1"/>
  <c r="AT945" i="1"/>
  <c r="AT946" i="1"/>
  <c r="AT947" i="1"/>
  <c r="AT948" i="1"/>
  <c r="AT949" i="1"/>
  <c r="AT950" i="1"/>
  <c r="AT951" i="1"/>
  <c r="AT952" i="1"/>
  <c r="AT953" i="1"/>
  <c r="AT954" i="1"/>
  <c r="AT955" i="1"/>
  <c r="AT956" i="1"/>
  <c r="AT957" i="1"/>
  <c r="AT958" i="1"/>
  <c r="AT959" i="1"/>
  <c r="AT960" i="1"/>
  <c r="AT961" i="1"/>
  <c r="AT962" i="1"/>
  <c r="AT963" i="1"/>
  <c r="AT964" i="1"/>
  <c r="AT965" i="1"/>
  <c r="AT966" i="1"/>
  <c r="AT967" i="1"/>
  <c r="AT968" i="1"/>
  <c r="AT969" i="1"/>
  <c r="AT970" i="1"/>
  <c r="AT971" i="1"/>
  <c r="AT972" i="1"/>
  <c r="CU167" i="1" l="1"/>
  <c r="CU166" i="1"/>
  <c r="CU165" i="1"/>
  <c r="CU164" i="1"/>
  <c r="CU163" i="1"/>
  <c r="CU162" i="1"/>
  <c r="CU161" i="1"/>
  <c r="CU160" i="1"/>
  <c r="CU159" i="1"/>
  <c r="CU158" i="1"/>
  <c r="CU157" i="1"/>
  <c r="CU156" i="1"/>
  <c r="CU155" i="1"/>
  <c r="CU154" i="1"/>
  <c r="CU153" i="1"/>
  <c r="CU152" i="1"/>
  <c r="CU151" i="1"/>
  <c r="CU150" i="1"/>
  <c r="CU149" i="1"/>
  <c r="CU148" i="1"/>
  <c r="AT83" i="1" l="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1" i="1"/>
  <c r="AT112" i="1"/>
  <c r="AT113" i="1"/>
  <c r="AT114" i="1"/>
  <c r="AT115" i="1"/>
  <c r="AT116" i="1"/>
  <c r="AT117" i="1"/>
  <c r="AT118" i="1"/>
  <c r="AT119" i="1"/>
  <c r="AT120" i="1"/>
  <c r="AT121" i="1"/>
  <c r="AT122" i="1"/>
  <c r="AT123" i="1"/>
  <c r="AT124" i="1"/>
  <c r="AT125" i="1"/>
  <c r="AT126" i="1"/>
  <c r="AT127" i="1"/>
  <c r="AT128" i="1"/>
  <c r="AT129" i="1"/>
  <c r="AT130" i="1"/>
  <c r="AT131" i="1"/>
  <c r="AT132" i="1"/>
  <c r="AT133" i="1"/>
  <c r="AT134" i="1"/>
  <c r="AT135" i="1"/>
  <c r="AT136" i="1"/>
  <c r="AT137" i="1"/>
  <c r="AT138" i="1"/>
  <c r="AT139" i="1"/>
  <c r="AT140" i="1"/>
  <c r="AT141" i="1"/>
  <c r="AT142" i="1"/>
  <c r="AT143" i="1"/>
  <c r="AT144" i="1"/>
  <c r="AT145" i="1"/>
  <c r="AT146" i="1"/>
  <c r="AT147" i="1"/>
  <c r="AT148" i="1"/>
  <c r="AT149" i="1"/>
  <c r="AT150" i="1"/>
  <c r="AT151" i="1"/>
  <c r="AT152" i="1"/>
  <c r="AT153" i="1"/>
  <c r="AT154" i="1"/>
  <c r="AT155" i="1"/>
  <c r="AT156" i="1"/>
  <c r="AT157" i="1"/>
  <c r="AT158" i="1"/>
  <c r="AT159" i="1"/>
  <c r="AT160" i="1"/>
  <c r="AT161" i="1"/>
  <c r="AT162" i="1"/>
  <c r="AT163" i="1"/>
  <c r="AT164" i="1"/>
  <c r="AT165" i="1"/>
  <c r="AT166" i="1"/>
  <c r="AT167" i="1"/>
  <c r="AT168" i="1"/>
  <c r="AT169" i="1"/>
  <c r="AT170" i="1"/>
  <c r="AT171" i="1"/>
  <c r="AT172" i="1"/>
  <c r="AT173" i="1"/>
  <c r="AT174" i="1"/>
  <c r="AT175" i="1"/>
  <c r="AT176" i="1"/>
  <c r="AT177" i="1"/>
  <c r="AT178" i="1"/>
  <c r="AT179" i="1"/>
  <c r="AT180" i="1"/>
  <c r="AT181" i="1"/>
  <c r="AT182" i="1"/>
  <c r="AT183" i="1"/>
  <c r="AT184" i="1"/>
  <c r="AT185" i="1"/>
  <c r="AT186" i="1"/>
  <c r="AT187" i="1"/>
  <c r="AT188" i="1"/>
  <c r="AT189" i="1"/>
  <c r="AT190" i="1"/>
  <c r="AT191" i="1"/>
  <c r="AT192" i="1"/>
  <c r="AT193" i="1"/>
  <c r="AT194" i="1"/>
  <c r="AT195" i="1"/>
  <c r="AT196" i="1"/>
  <c r="AT197" i="1"/>
  <c r="AT198" i="1"/>
  <c r="AT199" i="1"/>
  <c r="AT200" i="1"/>
  <c r="AT201" i="1"/>
  <c r="AT202" i="1"/>
  <c r="AT203" i="1"/>
  <c r="AT204" i="1"/>
  <c r="AT205" i="1"/>
  <c r="AT206" i="1"/>
  <c r="AT207" i="1"/>
  <c r="AT208" i="1"/>
  <c r="AT209" i="1"/>
  <c r="AT210" i="1"/>
  <c r="AT211" i="1"/>
  <c r="AT212" i="1"/>
  <c r="AT213" i="1"/>
  <c r="AT214" i="1"/>
  <c r="AT215" i="1"/>
  <c r="AT216" i="1"/>
  <c r="AT217" i="1"/>
  <c r="AT218" i="1"/>
  <c r="AT219" i="1"/>
  <c r="AT220" i="1"/>
  <c r="AT221" i="1"/>
  <c r="AT222" i="1"/>
  <c r="AT223" i="1"/>
  <c r="AT224" i="1"/>
  <c r="AT225" i="1"/>
  <c r="AT226" i="1"/>
  <c r="AT227" i="1"/>
  <c r="AT228" i="1"/>
  <c r="AT229" i="1"/>
  <c r="AT230" i="1"/>
  <c r="AT231" i="1"/>
  <c r="AT232" i="1"/>
  <c r="AT233" i="1"/>
  <c r="AT234" i="1"/>
  <c r="AT235" i="1"/>
  <c r="AT236" i="1"/>
  <c r="AT237" i="1"/>
  <c r="AT238" i="1"/>
  <c r="AT239" i="1"/>
  <c r="AT240" i="1"/>
  <c r="AT241" i="1"/>
  <c r="AT242" i="1"/>
  <c r="AT243" i="1"/>
  <c r="AT244" i="1"/>
  <c r="AT245" i="1"/>
  <c r="AT246" i="1"/>
  <c r="AT247" i="1"/>
  <c r="AT248" i="1"/>
  <c r="AT249" i="1"/>
  <c r="AT250" i="1"/>
  <c r="AT251" i="1"/>
  <c r="AT252" i="1"/>
  <c r="AT253" i="1"/>
  <c r="AT254" i="1"/>
  <c r="AT255" i="1"/>
  <c r="AT256" i="1"/>
  <c r="AT257" i="1"/>
  <c r="AT258" i="1"/>
  <c r="AT259" i="1"/>
  <c r="AT260" i="1"/>
  <c r="AT261" i="1"/>
  <c r="AT262" i="1"/>
  <c r="AT263" i="1"/>
  <c r="AT264" i="1"/>
  <c r="AT265" i="1"/>
  <c r="AT266" i="1"/>
  <c r="AT267" i="1"/>
  <c r="AT268" i="1"/>
  <c r="AT269" i="1"/>
  <c r="AT270" i="1"/>
  <c r="AT271" i="1"/>
  <c r="AT272" i="1"/>
  <c r="AT273" i="1"/>
  <c r="AT274" i="1"/>
  <c r="AT275" i="1"/>
  <c r="AT276" i="1"/>
  <c r="AT277" i="1"/>
  <c r="AT278" i="1"/>
  <c r="AT279" i="1"/>
  <c r="AT280" i="1"/>
  <c r="AT281" i="1"/>
  <c r="AT282" i="1"/>
  <c r="AT283" i="1"/>
  <c r="AT284" i="1"/>
  <c r="AT285" i="1"/>
  <c r="AT286" i="1"/>
  <c r="AT287" i="1"/>
  <c r="AT288" i="1"/>
  <c r="AT289" i="1"/>
  <c r="AT290" i="1"/>
  <c r="AT291" i="1"/>
  <c r="AT292" i="1"/>
  <c r="AT293" i="1"/>
  <c r="AT294" i="1"/>
  <c r="AT295" i="1"/>
  <c r="AT296" i="1"/>
  <c r="AT297" i="1"/>
  <c r="AT298" i="1"/>
  <c r="AT299" i="1"/>
  <c r="AT300" i="1"/>
  <c r="AT301" i="1"/>
  <c r="AT302" i="1"/>
  <c r="AT303" i="1"/>
  <c r="AT304" i="1"/>
  <c r="AT305" i="1"/>
  <c r="AT306" i="1"/>
  <c r="AT307" i="1"/>
  <c r="AT308" i="1"/>
  <c r="AT309" i="1"/>
  <c r="AT310" i="1"/>
  <c r="AT311" i="1"/>
  <c r="AT312" i="1"/>
  <c r="AT313" i="1"/>
  <c r="AT314" i="1"/>
  <c r="AT315" i="1"/>
  <c r="AT316" i="1"/>
  <c r="AT317" i="1"/>
  <c r="AT318" i="1"/>
  <c r="AT319" i="1"/>
  <c r="AT320" i="1"/>
  <c r="AT321" i="1"/>
  <c r="AT322" i="1"/>
  <c r="AT323" i="1"/>
  <c r="AT324" i="1"/>
  <c r="AT325" i="1"/>
  <c r="AT326" i="1"/>
  <c r="AT327" i="1"/>
  <c r="AT328" i="1"/>
  <c r="AT329" i="1"/>
  <c r="AT330" i="1"/>
  <c r="AT331" i="1"/>
  <c r="AT332" i="1"/>
  <c r="AT333" i="1"/>
  <c r="AT334" i="1"/>
  <c r="AT335" i="1"/>
  <c r="AT336" i="1"/>
  <c r="AT337" i="1"/>
  <c r="AT338" i="1"/>
  <c r="AT339" i="1"/>
  <c r="AT340" i="1"/>
  <c r="AT341" i="1"/>
  <c r="AT342" i="1"/>
  <c r="AT343" i="1"/>
  <c r="AT344" i="1"/>
  <c r="AT345" i="1"/>
  <c r="AT346" i="1"/>
  <c r="AT347" i="1"/>
  <c r="AT348" i="1"/>
  <c r="AT349" i="1"/>
  <c r="AT350" i="1"/>
  <c r="AT351" i="1"/>
  <c r="AT352" i="1"/>
  <c r="AT353" i="1"/>
  <c r="AT354" i="1"/>
  <c r="AT355" i="1"/>
  <c r="AT356" i="1"/>
  <c r="AT357" i="1"/>
  <c r="AT358" i="1"/>
  <c r="AT359" i="1"/>
  <c r="AT360" i="1"/>
  <c r="AT361" i="1"/>
  <c r="AT362" i="1"/>
  <c r="AT363" i="1"/>
  <c r="AT364" i="1"/>
  <c r="AT365" i="1"/>
  <c r="AT366" i="1"/>
  <c r="AT367" i="1"/>
  <c r="AT368" i="1"/>
  <c r="AT369" i="1"/>
  <c r="AT370" i="1"/>
  <c r="AT371" i="1"/>
  <c r="AT372" i="1"/>
  <c r="AT373" i="1"/>
  <c r="AT374" i="1"/>
  <c r="AT375" i="1"/>
  <c r="AT376" i="1"/>
  <c r="AT377" i="1"/>
  <c r="AT378" i="1"/>
  <c r="AT379" i="1"/>
  <c r="AT380" i="1"/>
  <c r="AT381" i="1"/>
  <c r="AT382" i="1"/>
  <c r="AT383" i="1"/>
  <c r="AT384" i="1"/>
  <c r="AT385" i="1"/>
  <c r="AT386" i="1"/>
  <c r="AT387" i="1"/>
  <c r="AT388" i="1"/>
  <c r="AT389" i="1"/>
  <c r="AT390" i="1"/>
  <c r="AT391" i="1"/>
  <c r="AT392" i="1"/>
  <c r="AT393" i="1"/>
  <c r="AT394" i="1"/>
  <c r="AT395" i="1"/>
  <c r="AT396" i="1"/>
  <c r="AT397" i="1"/>
  <c r="AT398" i="1"/>
  <c r="AT399" i="1"/>
  <c r="AT400" i="1"/>
  <c r="AT401" i="1"/>
  <c r="AT402" i="1"/>
  <c r="AT403" i="1"/>
  <c r="AT404" i="1"/>
  <c r="AT405" i="1"/>
  <c r="AT406" i="1"/>
  <c r="AT407" i="1"/>
  <c r="AT408" i="1"/>
  <c r="AT409" i="1"/>
  <c r="AT410" i="1"/>
  <c r="AT411" i="1"/>
  <c r="AT412" i="1"/>
  <c r="AT413" i="1"/>
  <c r="AT414" i="1"/>
  <c r="AT415" i="1"/>
  <c r="AT416" i="1"/>
  <c r="AT417" i="1"/>
  <c r="AT418" i="1"/>
  <c r="AT419" i="1"/>
  <c r="AT420" i="1"/>
  <c r="AT421" i="1"/>
  <c r="AT422" i="1"/>
  <c r="AT423" i="1"/>
  <c r="AT424" i="1"/>
  <c r="AT425" i="1"/>
  <c r="AT426" i="1"/>
  <c r="AT427" i="1"/>
  <c r="AT428" i="1"/>
  <c r="AT429" i="1"/>
  <c r="AT430" i="1"/>
  <c r="AT431" i="1"/>
  <c r="AT432" i="1"/>
  <c r="AT433" i="1"/>
  <c r="AT434" i="1"/>
  <c r="AT435" i="1"/>
  <c r="AT436" i="1"/>
  <c r="AT437" i="1"/>
  <c r="AT438" i="1"/>
  <c r="AT439" i="1"/>
  <c r="AT440" i="1"/>
  <c r="AT441" i="1"/>
  <c r="AT442" i="1"/>
  <c r="AT443" i="1"/>
  <c r="AT444" i="1"/>
  <c r="AT445" i="1"/>
  <c r="AT446" i="1"/>
  <c r="AT447" i="1"/>
  <c r="AT448" i="1"/>
  <c r="AT449" i="1"/>
  <c r="AT450" i="1"/>
  <c r="AT451" i="1"/>
  <c r="AT452" i="1"/>
  <c r="AT453" i="1"/>
  <c r="AT454" i="1"/>
  <c r="AT455" i="1"/>
  <c r="AT456" i="1"/>
  <c r="AT457" i="1"/>
  <c r="AT458" i="1"/>
  <c r="AT459" i="1"/>
  <c r="AT460" i="1"/>
  <c r="AT461" i="1"/>
  <c r="AT462" i="1"/>
  <c r="AT463" i="1"/>
  <c r="AT464" i="1"/>
  <c r="AT465" i="1"/>
  <c r="AT466" i="1"/>
  <c r="AT467" i="1"/>
  <c r="AT468" i="1"/>
  <c r="AT469" i="1"/>
  <c r="AT470" i="1"/>
  <c r="AT471" i="1"/>
  <c r="AT472" i="1"/>
  <c r="AT473" i="1"/>
  <c r="AT474" i="1"/>
  <c r="AT475" i="1"/>
  <c r="AT476" i="1"/>
  <c r="AT477" i="1"/>
  <c r="AT478" i="1"/>
  <c r="AT479" i="1"/>
  <c r="AT480" i="1"/>
  <c r="AT481" i="1"/>
  <c r="AT482" i="1"/>
  <c r="AT483" i="1"/>
  <c r="AT484" i="1"/>
  <c r="AT485" i="1"/>
  <c r="AT486" i="1"/>
  <c r="AT487" i="1"/>
  <c r="AT488" i="1"/>
  <c r="AT489" i="1"/>
  <c r="AT490" i="1"/>
  <c r="AT491" i="1"/>
  <c r="AT492" i="1"/>
  <c r="AT493" i="1"/>
  <c r="AT494" i="1"/>
  <c r="AT495" i="1"/>
  <c r="AT496" i="1"/>
  <c r="AT497" i="1"/>
  <c r="AT498" i="1"/>
  <c r="AT499" i="1"/>
  <c r="AT500" i="1"/>
  <c r="AT501" i="1"/>
  <c r="AT502" i="1"/>
  <c r="AT503" i="1"/>
  <c r="AT504" i="1"/>
  <c r="AT505" i="1"/>
  <c r="AT506" i="1"/>
  <c r="AT507" i="1"/>
  <c r="AT508" i="1"/>
  <c r="AT509" i="1"/>
  <c r="AT510" i="1"/>
  <c r="AT511" i="1"/>
  <c r="AT512" i="1"/>
  <c r="AT513" i="1"/>
  <c r="AT514" i="1"/>
  <c r="AT515" i="1"/>
  <c r="AT516" i="1"/>
  <c r="AT517" i="1"/>
  <c r="AT518" i="1"/>
  <c r="AT519" i="1"/>
  <c r="AT520" i="1"/>
  <c r="AT521" i="1"/>
  <c r="AT522" i="1"/>
  <c r="AT523" i="1"/>
  <c r="AT524" i="1"/>
  <c r="AT525" i="1"/>
  <c r="AT526" i="1"/>
  <c r="AT527" i="1"/>
  <c r="AT528" i="1"/>
  <c r="AT529" i="1"/>
  <c r="AT530" i="1"/>
  <c r="AT531" i="1"/>
  <c r="AT532" i="1"/>
  <c r="AT533" i="1"/>
  <c r="AT534" i="1"/>
  <c r="AT535" i="1"/>
  <c r="AT536" i="1"/>
  <c r="AT537" i="1"/>
  <c r="AT538" i="1"/>
  <c r="AT539" i="1"/>
  <c r="AT540" i="1"/>
  <c r="AT541" i="1"/>
  <c r="AT542" i="1"/>
  <c r="AT543" i="1"/>
  <c r="AT544" i="1"/>
  <c r="AT545" i="1"/>
  <c r="AT546" i="1"/>
  <c r="AT547" i="1"/>
  <c r="AT548" i="1"/>
  <c r="AT549" i="1"/>
  <c r="AT550" i="1"/>
  <c r="AT551" i="1"/>
  <c r="AT552" i="1"/>
  <c r="AT553" i="1"/>
  <c r="AT554" i="1"/>
  <c r="AT555" i="1"/>
  <c r="AT556" i="1"/>
  <c r="AT557" i="1"/>
  <c r="AT558" i="1"/>
  <c r="AT559" i="1"/>
  <c r="AT560" i="1"/>
  <c r="AT561" i="1"/>
  <c r="AT562" i="1"/>
  <c r="AT563" i="1"/>
  <c r="AT564" i="1"/>
  <c r="AT565" i="1"/>
  <c r="AT566" i="1"/>
  <c r="AT567" i="1"/>
  <c r="AT568" i="1"/>
  <c r="AT569" i="1"/>
  <c r="AT570" i="1"/>
  <c r="AT571" i="1"/>
  <c r="AT572" i="1"/>
  <c r="AT573" i="1"/>
  <c r="AT574" i="1"/>
  <c r="AT575" i="1"/>
  <c r="AT576" i="1"/>
  <c r="AT577" i="1"/>
  <c r="AT578" i="1"/>
  <c r="AT579" i="1"/>
  <c r="AT580" i="1"/>
  <c r="AT581" i="1"/>
  <c r="AT582" i="1"/>
  <c r="AT583" i="1"/>
  <c r="AT584" i="1"/>
  <c r="AT585" i="1"/>
  <c r="AT586" i="1"/>
  <c r="AT587" i="1"/>
  <c r="AT588" i="1"/>
  <c r="AT589" i="1"/>
  <c r="AT590" i="1"/>
  <c r="AT591" i="1"/>
  <c r="AT592" i="1"/>
  <c r="AT593" i="1"/>
  <c r="AT594" i="1"/>
  <c r="AT595" i="1"/>
  <c r="AT596" i="1"/>
  <c r="AT597" i="1"/>
  <c r="AT598" i="1"/>
  <c r="AT599" i="1"/>
  <c r="AT600" i="1"/>
  <c r="AT601" i="1"/>
  <c r="AT602" i="1"/>
  <c r="AT603" i="1"/>
  <c r="AT604" i="1"/>
  <c r="AT605" i="1"/>
  <c r="AT606" i="1"/>
  <c r="AT607" i="1"/>
  <c r="AT608" i="1"/>
  <c r="AT609" i="1"/>
  <c r="AT610" i="1"/>
  <c r="AT611" i="1"/>
  <c r="AT612" i="1"/>
  <c r="AT613" i="1"/>
  <c r="AT614" i="1"/>
  <c r="AT615" i="1"/>
  <c r="AT616" i="1"/>
  <c r="AT617" i="1"/>
  <c r="AT618" i="1"/>
  <c r="AT619" i="1"/>
  <c r="AT620" i="1"/>
  <c r="AT621" i="1"/>
  <c r="AT622" i="1"/>
  <c r="AT623" i="1"/>
  <c r="AT624" i="1"/>
  <c r="AT625" i="1"/>
  <c r="AT626" i="1"/>
  <c r="AT627" i="1"/>
  <c r="AT628" i="1"/>
  <c r="AT629" i="1"/>
  <c r="AT630" i="1"/>
  <c r="AT631" i="1"/>
  <c r="AT632" i="1"/>
  <c r="AT633" i="1"/>
  <c r="AT634" i="1"/>
  <c r="AT635" i="1"/>
  <c r="AT636" i="1"/>
  <c r="AT637" i="1"/>
  <c r="AT638" i="1"/>
  <c r="AT639" i="1"/>
  <c r="AT640" i="1"/>
  <c r="AT641" i="1"/>
  <c r="AT642" i="1"/>
  <c r="AT643" i="1"/>
  <c r="AT644" i="1"/>
  <c r="AT645" i="1"/>
  <c r="AT646" i="1"/>
  <c r="AT647" i="1"/>
  <c r="AT648" i="1"/>
  <c r="AT649" i="1"/>
  <c r="AT650" i="1"/>
  <c r="AT651" i="1"/>
  <c r="AT652" i="1"/>
  <c r="AT653" i="1"/>
  <c r="AT654" i="1"/>
  <c r="AT655" i="1"/>
  <c r="AT656" i="1"/>
  <c r="AT657" i="1"/>
  <c r="AT658" i="1"/>
  <c r="AT659" i="1"/>
  <c r="AT660" i="1"/>
  <c r="AT661" i="1"/>
  <c r="AT662" i="1"/>
  <c r="AT663" i="1"/>
  <c r="AT664" i="1"/>
  <c r="AT665" i="1"/>
  <c r="AT666" i="1"/>
  <c r="AT667" i="1"/>
  <c r="AT668" i="1"/>
  <c r="AT669" i="1"/>
  <c r="AT670" i="1"/>
  <c r="AT671" i="1"/>
  <c r="AT672" i="1"/>
  <c r="AT673" i="1"/>
  <c r="AT674" i="1"/>
  <c r="AT675" i="1"/>
  <c r="AT676" i="1"/>
  <c r="AT677" i="1"/>
  <c r="AT678" i="1"/>
  <c r="AT679" i="1"/>
  <c r="AT680" i="1"/>
  <c r="AT681" i="1"/>
  <c r="AT682" i="1"/>
  <c r="AT683" i="1"/>
  <c r="AT684" i="1"/>
  <c r="AT685" i="1"/>
  <c r="AT686" i="1"/>
  <c r="AT687" i="1"/>
  <c r="AT688" i="1"/>
  <c r="AT689" i="1"/>
  <c r="AT690" i="1"/>
  <c r="AT691" i="1"/>
  <c r="AT692" i="1"/>
  <c r="AT693" i="1"/>
  <c r="AT694" i="1"/>
  <c r="AT695" i="1"/>
  <c r="AT696" i="1"/>
  <c r="AT697" i="1"/>
  <c r="AT698" i="1"/>
  <c r="AT699" i="1"/>
  <c r="AT700" i="1"/>
  <c r="AT701" i="1"/>
  <c r="AT702" i="1"/>
  <c r="AT703" i="1"/>
  <c r="AT704" i="1"/>
  <c r="AT705" i="1"/>
  <c r="AT706" i="1"/>
  <c r="AT707" i="1"/>
  <c r="AT708" i="1"/>
  <c r="AT709" i="1"/>
  <c r="AT710" i="1"/>
  <c r="AT711" i="1"/>
  <c r="AT712" i="1"/>
  <c r="AT713" i="1"/>
  <c r="AT714" i="1"/>
  <c r="AT715" i="1"/>
  <c r="AT716" i="1"/>
  <c r="AT717" i="1"/>
  <c r="AT718" i="1"/>
  <c r="AT719" i="1"/>
  <c r="AT720" i="1"/>
  <c r="AT721" i="1"/>
  <c r="AT722" i="1"/>
  <c r="AT723" i="1"/>
  <c r="AT724" i="1"/>
  <c r="AT725" i="1"/>
  <c r="AT726" i="1"/>
  <c r="AT727" i="1"/>
  <c r="AT728" i="1"/>
  <c r="AT729" i="1"/>
  <c r="AT730" i="1"/>
  <c r="AT731" i="1"/>
  <c r="AT732" i="1"/>
  <c r="AT733" i="1"/>
  <c r="AT734" i="1"/>
  <c r="AT735" i="1"/>
  <c r="AT736" i="1"/>
  <c r="AT737" i="1"/>
  <c r="AT738" i="1"/>
  <c r="AT739" i="1"/>
  <c r="AT740" i="1"/>
  <c r="AT741" i="1"/>
  <c r="AT742" i="1"/>
  <c r="AT743" i="1"/>
  <c r="AT744" i="1"/>
  <c r="AT745" i="1"/>
  <c r="AT746" i="1"/>
  <c r="AT747" i="1"/>
  <c r="AT748" i="1"/>
  <c r="AT749" i="1"/>
  <c r="AT750" i="1"/>
  <c r="AT751" i="1"/>
  <c r="AT752" i="1"/>
  <c r="AT753" i="1"/>
  <c r="AT754" i="1"/>
  <c r="AT755" i="1"/>
  <c r="AT756" i="1"/>
  <c r="AT757" i="1"/>
  <c r="AT758" i="1"/>
  <c r="AT759" i="1"/>
  <c r="AT760" i="1"/>
  <c r="AT761" i="1"/>
  <c r="AT762" i="1"/>
  <c r="AT763" i="1"/>
  <c r="AT764" i="1"/>
  <c r="AT765" i="1"/>
  <c r="AT766" i="1"/>
  <c r="AT767" i="1"/>
  <c r="AT768" i="1"/>
  <c r="AT769" i="1"/>
  <c r="AT770" i="1"/>
  <c r="AT771" i="1"/>
  <c r="AT772" i="1"/>
  <c r="AT773" i="1"/>
  <c r="AT774" i="1"/>
  <c r="AT775" i="1"/>
  <c r="AT776" i="1"/>
  <c r="AT777" i="1"/>
  <c r="AT778" i="1"/>
  <c r="AT779" i="1"/>
  <c r="AT780" i="1"/>
  <c r="AT781" i="1"/>
  <c r="AT782" i="1"/>
  <c r="AT783" i="1"/>
  <c r="AT784" i="1"/>
  <c r="AT785" i="1"/>
  <c r="AT786" i="1"/>
  <c r="AT787" i="1"/>
  <c r="AT788" i="1"/>
  <c r="AT789" i="1"/>
  <c r="AT790" i="1"/>
  <c r="AT791" i="1"/>
  <c r="AT792" i="1"/>
  <c r="AT793" i="1"/>
  <c r="AT794" i="1"/>
  <c r="AT795" i="1"/>
  <c r="AT796" i="1"/>
  <c r="AT797" i="1"/>
  <c r="AT798" i="1"/>
  <c r="AT799" i="1"/>
  <c r="AT800" i="1"/>
  <c r="AT801" i="1"/>
  <c r="AT802" i="1"/>
  <c r="AT803" i="1"/>
  <c r="AT804" i="1"/>
  <c r="AT805" i="1"/>
  <c r="AT806" i="1"/>
  <c r="AT807" i="1"/>
  <c r="AT808" i="1"/>
  <c r="AT809" i="1"/>
  <c r="AT810" i="1"/>
  <c r="AT811" i="1"/>
  <c r="AT812" i="1"/>
  <c r="AT813" i="1"/>
  <c r="AT814" i="1"/>
  <c r="AT815" i="1"/>
  <c r="AT816" i="1"/>
  <c r="AT817" i="1"/>
  <c r="AT818" i="1"/>
  <c r="AT819" i="1"/>
  <c r="AT820" i="1"/>
  <c r="AT821" i="1"/>
  <c r="AT822" i="1"/>
  <c r="AT823" i="1"/>
  <c r="AT824" i="1"/>
  <c r="AT825" i="1"/>
  <c r="AT826" i="1"/>
  <c r="AT827" i="1"/>
  <c r="AT828" i="1"/>
  <c r="AT829" i="1"/>
  <c r="AT830" i="1"/>
  <c r="AT831" i="1"/>
  <c r="AT832" i="1"/>
  <c r="AT833" i="1"/>
  <c r="AT834" i="1"/>
  <c r="AT835" i="1"/>
  <c r="AT836" i="1"/>
  <c r="AT837" i="1"/>
  <c r="AT838" i="1"/>
  <c r="AT839" i="1"/>
  <c r="AT840" i="1"/>
  <c r="AT841" i="1"/>
  <c r="AT842" i="1"/>
  <c r="AT843" i="1"/>
  <c r="AT844" i="1"/>
  <c r="AT845" i="1"/>
  <c r="AT846" i="1"/>
  <c r="AT847" i="1"/>
  <c r="AT848" i="1"/>
  <c r="AT849" i="1"/>
  <c r="AT850" i="1"/>
  <c r="AT851" i="1"/>
  <c r="AT852" i="1"/>
  <c r="AT853" i="1"/>
  <c r="AT854" i="1"/>
  <c r="AT855" i="1"/>
  <c r="AT856" i="1"/>
  <c r="AT857" i="1"/>
  <c r="AT858" i="1"/>
  <c r="AT859" i="1"/>
  <c r="AT860" i="1"/>
  <c r="AT861" i="1"/>
  <c r="AT862" i="1"/>
  <c r="AT863" i="1"/>
  <c r="AT864" i="1"/>
  <c r="AT865" i="1"/>
  <c r="AT866" i="1"/>
  <c r="AT867" i="1"/>
  <c r="AT868" i="1"/>
  <c r="AT869" i="1"/>
  <c r="AT870" i="1"/>
  <c r="AT871" i="1"/>
  <c r="AT872" i="1"/>
  <c r="AT873" i="1"/>
  <c r="AT874" i="1"/>
  <c r="AT875" i="1"/>
  <c r="AT876" i="1"/>
  <c r="AT877" i="1"/>
  <c r="AT878" i="1"/>
  <c r="AT879" i="1"/>
  <c r="AT880" i="1"/>
  <c r="AT881" i="1"/>
  <c r="AT882" i="1"/>
  <c r="AT883" i="1"/>
  <c r="AT884" i="1"/>
  <c r="AT885" i="1"/>
  <c r="AT886" i="1"/>
  <c r="AT887" i="1"/>
  <c r="AT888" i="1"/>
  <c r="AT889" i="1"/>
  <c r="AT890" i="1"/>
  <c r="AT891" i="1"/>
  <c r="AT892" i="1"/>
  <c r="AT893" i="1"/>
  <c r="AT894" i="1"/>
  <c r="AT895" i="1"/>
  <c r="AT896" i="1"/>
  <c r="AT897" i="1"/>
  <c r="AT898" i="1"/>
  <c r="AT899" i="1"/>
  <c r="AT900" i="1"/>
  <c r="AT901" i="1"/>
  <c r="AT902" i="1"/>
  <c r="AT903" i="1"/>
  <c r="AT904" i="1"/>
  <c r="AT905" i="1"/>
  <c r="AT82" i="1"/>
  <c r="AW59" i="1" l="1"/>
  <c r="AW55" i="1"/>
  <c r="AW50" i="1"/>
  <c r="AW45" i="1"/>
  <c r="AW27" i="1"/>
  <c r="AW17" i="1"/>
  <c r="AW58" i="1"/>
  <c r="AW54" i="1"/>
  <c r="AW49" i="1"/>
  <c r="AW30" i="1"/>
  <c r="AW26" i="1"/>
  <c r="AW12" i="1"/>
  <c r="AW57" i="1"/>
  <c r="AW53" i="1"/>
  <c r="AW48" i="1"/>
  <c r="AW29" i="1"/>
  <c r="AW25" i="1"/>
  <c r="AW7" i="1"/>
  <c r="AW56" i="1"/>
  <c r="AW52" i="1"/>
  <c r="AW46" i="1"/>
  <c r="AW28" i="1"/>
  <c r="AW22" i="1"/>
  <c r="AW4" i="1"/>
  <c r="BD75" i="1"/>
  <c r="AZ75" i="1"/>
  <c r="AV75" i="1"/>
  <c r="BD74" i="1"/>
  <c r="AZ74" i="1"/>
  <c r="AV74" i="1"/>
  <c r="BD73" i="1"/>
  <c r="AZ73" i="1"/>
  <c r="AV73" i="1"/>
  <c r="BD72" i="1"/>
  <c r="AZ72" i="1"/>
  <c r="AV72" i="1"/>
  <c r="BD71" i="1"/>
  <c r="AZ71" i="1"/>
  <c r="AV71" i="1"/>
  <c r="BD70" i="1"/>
  <c r="AZ70" i="1"/>
  <c r="AV70" i="1"/>
  <c r="BD69" i="1"/>
  <c r="AZ69" i="1"/>
  <c r="AV69" i="1"/>
  <c r="BD68" i="1"/>
  <c r="AZ68" i="1"/>
  <c r="AV68" i="1"/>
  <c r="BD67" i="1"/>
  <c r="AZ67" i="1"/>
  <c r="AV67" i="1"/>
  <c r="BD66" i="1"/>
  <c r="AZ66" i="1"/>
  <c r="AV66" i="1"/>
  <c r="BD65" i="1"/>
  <c r="AZ65" i="1"/>
  <c r="AV65" i="1"/>
  <c r="BD64" i="1"/>
  <c r="AZ64" i="1"/>
  <c r="AV64" i="1"/>
  <c r="BD63" i="1"/>
  <c r="AZ63" i="1"/>
  <c r="AV63" i="1"/>
  <c r="BD62" i="1"/>
  <c r="AZ62" i="1"/>
  <c r="AV62" i="1"/>
  <c r="BD61" i="1"/>
  <c r="AZ61" i="1"/>
  <c r="AV61" i="1"/>
  <c r="BD60" i="1"/>
  <c r="AZ60" i="1"/>
  <c r="AV60" i="1"/>
  <c r="BD59" i="1"/>
  <c r="AZ59" i="1"/>
  <c r="AV59" i="1"/>
  <c r="BD58" i="1"/>
  <c r="AZ58" i="1"/>
  <c r="AV58" i="1"/>
  <c r="BD57" i="1"/>
  <c r="AZ57" i="1"/>
  <c r="AV57" i="1"/>
  <c r="BD56" i="1"/>
  <c r="AZ56" i="1"/>
  <c r="AV56" i="1"/>
  <c r="BD55" i="1"/>
  <c r="AZ55" i="1"/>
  <c r="AV55" i="1"/>
  <c r="BD54" i="1"/>
  <c r="AZ54" i="1"/>
  <c r="AV54" i="1"/>
  <c r="BD53" i="1"/>
  <c r="AZ53" i="1"/>
  <c r="AV53" i="1"/>
  <c r="BD52" i="1"/>
  <c r="BC75" i="1"/>
  <c r="AY75" i="1"/>
  <c r="AU75" i="1"/>
  <c r="BC74" i="1"/>
  <c r="AY74" i="1"/>
  <c r="AU74" i="1"/>
  <c r="BC73" i="1"/>
  <c r="AY73" i="1"/>
  <c r="AU73" i="1"/>
  <c r="BC72" i="1"/>
  <c r="AY72" i="1"/>
  <c r="AU72" i="1"/>
  <c r="BC71" i="1"/>
  <c r="AY71" i="1"/>
  <c r="AU71" i="1"/>
  <c r="BC70" i="1"/>
  <c r="AY70" i="1"/>
  <c r="AU70" i="1"/>
  <c r="BC69" i="1"/>
  <c r="AY69" i="1"/>
  <c r="AU69" i="1"/>
  <c r="BC68" i="1"/>
  <c r="AY68" i="1"/>
  <c r="AU68" i="1"/>
  <c r="BC67" i="1"/>
  <c r="AY67" i="1"/>
  <c r="AU67" i="1"/>
  <c r="BC66" i="1"/>
  <c r="AY66" i="1"/>
  <c r="AU66" i="1"/>
  <c r="BC65" i="1"/>
  <c r="AY65" i="1"/>
  <c r="AU65" i="1"/>
  <c r="BC64" i="1"/>
  <c r="AY64" i="1"/>
  <c r="AU64" i="1"/>
  <c r="BC63" i="1"/>
  <c r="AY63" i="1"/>
  <c r="AU63" i="1"/>
  <c r="BC62" i="1"/>
  <c r="AY62" i="1"/>
  <c r="AU62" i="1"/>
  <c r="BC61" i="1"/>
  <c r="AY61" i="1"/>
  <c r="AU61" i="1"/>
  <c r="BC60" i="1"/>
  <c r="AY60" i="1"/>
  <c r="AU60" i="1"/>
  <c r="BC59" i="1"/>
  <c r="AY59" i="1"/>
  <c r="AU59" i="1"/>
  <c r="BC58" i="1"/>
  <c r="AY58" i="1"/>
  <c r="AU58" i="1"/>
  <c r="BC57" i="1"/>
  <c r="AY57" i="1"/>
  <c r="AU57" i="1"/>
  <c r="BC56" i="1"/>
  <c r="AY56" i="1"/>
  <c r="AU56" i="1"/>
  <c r="BC55" i="1"/>
  <c r="AY55" i="1"/>
  <c r="AU55" i="1"/>
  <c r="BC54" i="1"/>
  <c r="AY54" i="1"/>
  <c r="AU54" i="1"/>
  <c r="BC53" i="1"/>
  <c r="AY53" i="1"/>
  <c r="AU53" i="1"/>
  <c r="BC52" i="1"/>
  <c r="AY52" i="1"/>
  <c r="AU52" i="1"/>
  <c r="BC51" i="1"/>
  <c r="AY51" i="1"/>
  <c r="AU51" i="1"/>
  <c r="BC50" i="1"/>
  <c r="AY50" i="1"/>
  <c r="AU50" i="1"/>
  <c r="BC49" i="1"/>
  <c r="AY49" i="1"/>
  <c r="AU49" i="1"/>
  <c r="BC48" i="1"/>
  <c r="AY48" i="1"/>
  <c r="AU48" i="1"/>
  <c r="BC47" i="1"/>
  <c r="BB75" i="1"/>
  <c r="BF74" i="1"/>
  <c r="AX74" i="1"/>
  <c r="BB73" i="1"/>
  <c r="BF72" i="1"/>
  <c r="AX72" i="1"/>
  <c r="BB71" i="1"/>
  <c r="BF70" i="1"/>
  <c r="AX70" i="1"/>
  <c r="BB69" i="1"/>
  <c r="BF68" i="1"/>
  <c r="AX68" i="1"/>
  <c r="BB67" i="1"/>
  <c r="BF66" i="1"/>
  <c r="AX66" i="1"/>
  <c r="BB65" i="1"/>
  <c r="BF64" i="1"/>
  <c r="AX64" i="1"/>
  <c r="BB63" i="1"/>
  <c r="BF62" i="1"/>
  <c r="AX62" i="1"/>
  <c r="BB61" i="1"/>
  <c r="BF60" i="1"/>
  <c r="AX60" i="1"/>
  <c r="BB59" i="1"/>
  <c r="BF58" i="1"/>
  <c r="AX58" i="1"/>
  <c r="BB57" i="1"/>
  <c r="BF56" i="1"/>
  <c r="AX56" i="1"/>
  <c r="BB55" i="1"/>
  <c r="BF54" i="1"/>
  <c r="AX54" i="1"/>
  <c r="BB53" i="1"/>
  <c r="BF52" i="1"/>
  <c r="AZ52" i="1"/>
  <c r="BF51" i="1"/>
  <c r="BA51" i="1"/>
  <c r="AV51" i="1"/>
  <c r="BB50" i="1"/>
  <c r="BD49" i="1"/>
  <c r="AX49" i="1"/>
  <c r="BE48" i="1"/>
  <c r="AZ48" i="1"/>
  <c r="BF47" i="1"/>
  <c r="BA47" i="1"/>
  <c r="AW47" i="1"/>
  <c r="BE46" i="1"/>
  <c r="BA46" i="1"/>
  <c r="BE45" i="1"/>
  <c r="BA45" i="1"/>
  <c r="BE44" i="1"/>
  <c r="BA44" i="1"/>
  <c r="AW44" i="1"/>
  <c r="BE43" i="1"/>
  <c r="BA43" i="1"/>
  <c r="AW43" i="1"/>
  <c r="BE42" i="1"/>
  <c r="BA42" i="1"/>
  <c r="AW42" i="1"/>
  <c r="BE41" i="1"/>
  <c r="BA41" i="1"/>
  <c r="AW41" i="1"/>
  <c r="BE40" i="1"/>
  <c r="BA40" i="1"/>
  <c r="AW40" i="1"/>
  <c r="BE39" i="1"/>
  <c r="BA39" i="1"/>
  <c r="AW39" i="1"/>
  <c r="BE38" i="1"/>
  <c r="BA38" i="1"/>
  <c r="AW38" i="1"/>
  <c r="BE37" i="1"/>
  <c r="BA37" i="1"/>
  <c r="AW37" i="1"/>
  <c r="BE36" i="1"/>
  <c r="BA36" i="1"/>
  <c r="AW36" i="1"/>
  <c r="BE35" i="1"/>
  <c r="BA35" i="1"/>
  <c r="AW35" i="1"/>
  <c r="BE34" i="1"/>
  <c r="BA34" i="1"/>
  <c r="AW34" i="1"/>
  <c r="BE33" i="1"/>
  <c r="BA75" i="1"/>
  <c r="BE74" i="1"/>
  <c r="AW74" i="1"/>
  <c r="BA73" i="1"/>
  <c r="BE72" i="1"/>
  <c r="AW72" i="1"/>
  <c r="BA71" i="1"/>
  <c r="BE70" i="1"/>
  <c r="AW70" i="1"/>
  <c r="BA69" i="1"/>
  <c r="BE68" i="1"/>
  <c r="AW68" i="1"/>
  <c r="BA67" i="1"/>
  <c r="BE66" i="1"/>
  <c r="AW66" i="1"/>
  <c r="BA65" i="1"/>
  <c r="BE64" i="1"/>
  <c r="AW64" i="1"/>
  <c r="BA63" i="1"/>
  <c r="BE62" i="1"/>
  <c r="AW62" i="1"/>
  <c r="BA61" i="1"/>
  <c r="BE60" i="1"/>
  <c r="AW60" i="1"/>
  <c r="BA59" i="1"/>
  <c r="BE58" i="1"/>
  <c r="BA57" i="1"/>
  <c r="BE56" i="1"/>
  <c r="BA55" i="1"/>
  <c r="BE54" i="1"/>
  <c r="BA53" i="1"/>
  <c r="BE52" i="1"/>
  <c r="AX52" i="1"/>
  <c r="BE51" i="1"/>
  <c r="AZ51" i="1"/>
  <c r="BF50" i="1"/>
  <c r="BA50" i="1"/>
  <c r="AV50" i="1"/>
  <c r="BB49" i="1"/>
  <c r="BD48" i="1"/>
  <c r="AX48" i="1"/>
  <c r="BE47" i="1"/>
  <c r="AZ47" i="1"/>
  <c r="AV47" i="1"/>
  <c r="BD46" i="1"/>
  <c r="AZ46" i="1"/>
  <c r="AV46" i="1"/>
  <c r="BD45" i="1"/>
  <c r="AZ45" i="1"/>
  <c r="AV45" i="1"/>
  <c r="BD44" i="1"/>
  <c r="AZ44" i="1"/>
  <c r="AV44" i="1"/>
  <c r="BD43" i="1"/>
  <c r="AZ43" i="1"/>
  <c r="AV43" i="1"/>
  <c r="BD42" i="1"/>
  <c r="AZ42" i="1"/>
  <c r="AV42" i="1"/>
  <c r="BD41" i="1"/>
  <c r="AZ41" i="1"/>
  <c r="AV41" i="1"/>
  <c r="BD40" i="1"/>
  <c r="AZ40" i="1"/>
  <c r="AV40" i="1"/>
  <c r="BD39" i="1"/>
  <c r="AZ39" i="1"/>
  <c r="AV39" i="1"/>
  <c r="BD38" i="1"/>
  <c r="AZ38" i="1"/>
  <c r="AV38" i="1"/>
  <c r="BD37" i="1"/>
  <c r="AZ37" i="1"/>
  <c r="AV37" i="1"/>
  <c r="BD36" i="1"/>
  <c r="AZ36" i="1"/>
  <c r="AV36" i="1"/>
  <c r="BD35" i="1"/>
  <c r="AZ35" i="1"/>
  <c r="AV35" i="1"/>
  <c r="BD34" i="1"/>
  <c r="AZ34" i="1"/>
  <c r="AV34" i="1"/>
  <c r="BD33" i="1"/>
  <c r="AZ33" i="1"/>
  <c r="AV33" i="1"/>
  <c r="BD32" i="1"/>
  <c r="AZ32" i="1"/>
  <c r="AV32" i="1"/>
  <c r="BD31" i="1"/>
  <c r="AZ31" i="1"/>
  <c r="AV31" i="1"/>
  <c r="BD30" i="1"/>
  <c r="AZ30" i="1"/>
  <c r="AV30" i="1"/>
  <c r="BD29" i="1"/>
  <c r="AZ29" i="1"/>
  <c r="AV29" i="1"/>
  <c r="BD28" i="1"/>
  <c r="AZ28" i="1"/>
  <c r="AV28" i="1"/>
  <c r="BD27" i="1"/>
  <c r="AZ27" i="1"/>
  <c r="AV27" i="1"/>
  <c r="BD26" i="1"/>
  <c r="AZ26" i="1"/>
  <c r="AV26" i="1"/>
  <c r="BD25" i="1"/>
  <c r="AZ25" i="1"/>
  <c r="AV25" i="1"/>
  <c r="BD24" i="1"/>
  <c r="AZ24" i="1"/>
  <c r="AV24" i="1"/>
  <c r="BD23" i="1"/>
  <c r="AZ23" i="1"/>
  <c r="AV23" i="1"/>
  <c r="BD22" i="1"/>
  <c r="AZ22" i="1"/>
  <c r="AV22" i="1"/>
  <c r="BD21" i="1"/>
  <c r="AZ21" i="1"/>
  <c r="AV21" i="1"/>
  <c r="BD20" i="1"/>
  <c r="AZ20" i="1"/>
  <c r="AV20" i="1"/>
  <c r="BD19" i="1"/>
  <c r="AZ19" i="1"/>
  <c r="AV19" i="1"/>
  <c r="BD18" i="1"/>
  <c r="AZ18" i="1"/>
  <c r="AV18" i="1"/>
  <c r="BD17" i="1"/>
  <c r="AZ17" i="1"/>
  <c r="AV17" i="1"/>
  <c r="BD16" i="1"/>
  <c r="AZ16" i="1"/>
  <c r="AV16" i="1"/>
  <c r="AX75" i="1"/>
  <c r="BF73" i="1"/>
  <c r="BB72" i="1"/>
  <c r="AX71" i="1"/>
  <c r="BF69" i="1"/>
  <c r="BB68" i="1"/>
  <c r="AX67" i="1"/>
  <c r="BF65" i="1"/>
  <c r="BB64" i="1"/>
  <c r="AX63" i="1"/>
  <c r="BF61" i="1"/>
  <c r="BB60" i="1"/>
  <c r="AX59" i="1"/>
  <c r="BF55" i="1"/>
  <c r="BB54" i="1"/>
  <c r="BE53" i="1"/>
  <c r="BA52" i="1"/>
  <c r="BB51" i="1"/>
  <c r="BD50" i="1"/>
  <c r="BF49" i="1"/>
  <c r="BA48" i="1"/>
  <c r="BB47" i="1"/>
  <c r="BF46" i="1"/>
  <c r="AX46" i="1"/>
  <c r="BC45" i="1"/>
  <c r="BB44" i="1"/>
  <c r="BF43" i="1"/>
  <c r="AX43" i="1"/>
  <c r="BB42" i="1"/>
  <c r="BF41" i="1"/>
  <c r="AX41" i="1"/>
  <c r="BB40" i="1"/>
  <c r="BF39" i="1"/>
  <c r="AX39" i="1"/>
  <c r="BB38" i="1"/>
  <c r="BF37" i="1"/>
  <c r="AX37" i="1"/>
  <c r="BB36" i="1"/>
  <c r="BF35" i="1"/>
  <c r="AX35" i="1"/>
  <c r="BB34" i="1"/>
  <c r="BF33" i="1"/>
  <c r="AY33" i="1"/>
  <c r="BF32" i="1"/>
  <c r="BA32" i="1"/>
  <c r="AU32" i="1"/>
  <c r="BB31" i="1"/>
  <c r="AW31" i="1"/>
  <c r="BC30" i="1"/>
  <c r="AX30" i="1"/>
  <c r="BE29" i="1"/>
  <c r="AY29" i="1"/>
  <c r="BF28" i="1"/>
  <c r="BA28" i="1"/>
  <c r="AU28" i="1"/>
  <c r="BB27" i="1"/>
  <c r="BC26" i="1"/>
  <c r="AX26" i="1"/>
  <c r="BE25" i="1"/>
  <c r="AY25" i="1"/>
  <c r="BF24" i="1"/>
  <c r="BA24" i="1"/>
  <c r="AU24" i="1"/>
  <c r="BB23" i="1"/>
  <c r="AW23" i="1"/>
  <c r="BC22" i="1"/>
  <c r="AX22" i="1"/>
  <c r="BE21" i="1"/>
  <c r="AY21" i="1"/>
  <c r="BF20" i="1"/>
  <c r="BA20" i="1"/>
  <c r="AU20" i="1"/>
  <c r="BB19" i="1"/>
  <c r="AW19" i="1"/>
  <c r="BC18" i="1"/>
  <c r="AX18" i="1"/>
  <c r="BE17" i="1"/>
  <c r="AY17" i="1"/>
  <c r="BF16" i="1"/>
  <c r="BA16" i="1"/>
  <c r="AU16" i="1"/>
  <c r="BC15" i="1"/>
  <c r="AY15" i="1"/>
  <c r="AU15" i="1"/>
  <c r="BC14" i="1"/>
  <c r="AY14" i="1"/>
  <c r="AU14" i="1"/>
  <c r="BC13" i="1"/>
  <c r="AY13" i="1"/>
  <c r="AU13" i="1"/>
  <c r="BC12" i="1"/>
  <c r="AY12" i="1"/>
  <c r="AU12" i="1"/>
  <c r="BC11" i="1"/>
  <c r="AY11" i="1"/>
  <c r="AU11" i="1"/>
  <c r="BC10" i="1"/>
  <c r="AY10" i="1"/>
  <c r="AU10" i="1"/>
  <c r="BC9" i="1"/>
  <c r="AY9" i="1"/>
  <c r="AU9" i="1"/>
  <c r="BC8" i="1"/>
  <c r="AY8" i="1"/>
  <c r="AU8" i="1"/>
  <c r="BC7" i="1"/>
  <c r="AY7" i="1"/>
  <c r="AU7" i="1"/>
  <c r="BC6" i="1"/>
  <c r="AY6" i="1"/>
  <c r="AU6" i="1"/>
  <c r="BC5" i="1"/>
  <c r="AY5" i="1"/>
  <c r="AU5" i="1"/>
  <c r="BC4" i="1"/>
  <c r="AY4" i="1"/>
  <c r="AU4" i="1"/>
  <c r="BB74" i="1"/>
  <c r="BF71" i="1"/>
  <c r="BB70" i="1"/>
  <c r="BF67" i="1"/>
  <c r="BF63" i="1"/>
  <c r="AX61" i="1"/>
  <c r="BB58" i="1"/>
  <c r="BA56" i="1"/>
  <c r="AV52" i="1"/>
  <c r="AX50" i="1"/>
  <c r="BF48" i="1"/>
  <c r="AX47" i="1"/>
  <c r="AU46" i="1"/>
  <c r="BF44" i="1"/>
  <c r="BB43" i="1"/>
  <c r="BB41" i="1"/>
  <c r="AX40" i="1"/>
  <c r="BF38" i="1"/>
  <c r="BB37" i="1"/>
  <c r="AX36" i="1"/>
  <c r="BF34" i="1"/>
  <c r="BB33" i="1"/>
  <c r="BC32" i="1"/>
  <c r="BE31" i="1"/>
  <c r="BF30" i="1"/>
  <c r="AU30" i="1"/>
  <c r="BB29" i="1"/>
  <c r="BC28" i="1"/>
  <c r="BE27" i="1"/>
  <c r="BF26" i="1"/>
  <c r="AU26" i="1"/>
  <c r="AX24" i="1"/>
  <c r="AY23" i="1"/>
  <c r="BA22" i="1"/>
  <c r="BB21" i="1"/>
  <c r="BC20" i="1"/>
  <c r="BE19" i="1"/>
  <c r="BF18" i="1"/>
  <c r="AU18" i="1"/>
  <c r="AX16" i="1"/>
  <c r="BA15" i="1"/>
  <c r="AW15" i="1"/>
  <c r="AW14" i="1"/>
  <c r="BA13" i="1"/>
  <c r="BE12" i="1"/>
  <c r="BE11" i="1"/>
  <c r="AW11" i="1"/>
  <c r="BA10" i="1"/>
  <c r="BE9" i="1"/>
  <c r="AW9" i="1"/>
  <c r="BA8" i="1"/>
  <c r="BE7" i="1"/>
  <c r="BA6" i="1"/>
  <c r="AW75" i="1"/>
  <c r="BE73" i="1"/>
  <c r="BA72" i="1"/>
  <c r="AW71" i="1"/>
  <c r="BE69" i="1"/>
  <c r="BA68" i="1"/>
  <c r="AW67" i="1"/>
  <c r="BE65" i="1"/>
  <c r="BA64" i="1"/>
  <c r="AW63" i="1"/>
  <c r="BE61" i="1"/>
  <c r="BA60" i="1"/>
  <c r="BF57" i="1"/>
  <c r="BB56" i="1"/>
  <c r="BE55" i="1"/>
  <c r="BA54" i="1"/>
  <c r="AX53" i="1"/>
  <c r="AX51" i="1"/>
  <c r="AZ50" i="1"/>
  <c r="BE49" i="1"/>
  <c r="AV49" i="1"/>
  <c r="AY47" i="1"/>
  <c r="BC46" i="1"/>
  <c r="BB45" i="1"/>
  <c r="AU45" i="1"/>
  <c r="AY44" i="1"/>
  <c r="BC43" i="1"/>
  <c r="AU43" i="1"/>
  <c r="AY42" i="1"/>
  <c r="BC41" i="1"/>
  <c r="AU41" i="1"/>
  <c r="AY40" i="1"/>
  <c r="BC39" i="1"/>
  <c r="AU39" i="1"/>
  <c r="AY38" i="1"/>
  <c r="BC37" i="1"/>
  <c r="AU37" i="1"/>
  <c r="AY36" i="1"/>
  <c r="BC35" i="1"/>
  <c r="AU35" i="1"/>
  <c r="AY34" i="1"/>
  <c r="BC33" i="1"/>
  <c r="AX33" i="1"/>
  <c r="BE32" i="1"/>
  <c r="AY32" i="1"/>
  <c r="BF31" i="1"/>
  <c r="BA31" i="1"/>
  <c r="AU31" i="1"/>
  <c r="BB30" i="1"/>
  <c r="BC29" i="1"/>
  <c r="AX29" i="1"/>
  <c r="BE28" i="1"/>
  <c r="AY28" i="1"/>
  <c r="BF27" i="1"/>
  <c r="BA27" i="1"/>
  <c r="AU27" i="1"/>
  <c r="BB26" i="1"/>
  <c r="BC25" i="1"/>
  <c r="AX25" i="1"/>
  <c r="BE24" i="1"/>
  <c r="AY24" i="1"/>
  <c r="BF23" i="1"/>
  <c r="BA23" i="1"/>
  <c r="AU23" i="1"/>
  <c r="BB22" i="1"/>
  <c r="BC21" i="1"/>
  <c r="AX21" i="1"/>
  <c r="BE20" i="1"/>
  <c r="AY20" i="1"/>
  <c r="BF19" i="1"/>
  <c r="BA19" i="1"/>
  <c r="AU19" i="1"/>
  <c r="BB18" i="1"/>
  <c r="AW18" i="1"/>
  <c r="BC17" i="1"/>
  <c r="AX17" i="1"/>
  <c r="BE16" i="1"/>
  <c r="AY16" i="1"/>
  <c r="BF15" i="1"/>
  <c r="BB15" i="1"/>
  <c r="AX15" i="1"/>
  <c r="BF14" i="1"/>
  <c r="BB14" i="1"/>
  <c r="AX14" i="1"/>
  <c r="BF13" i="1"/>
  <c r="BB13" i="1"/>
  <c r="AX13" i="1"/>
  <c r="BF12" i="1"/>
  <c r="BB12" i="1"/>
  <c r="AX12" i="1"/>
  <c r="BF11" i="1"/>
  <c r="BB11" i="1"/>
  <c r="AX11" i="1"/>
  <c r="BF10" i="1"/>
  <c r="BB10" i="1"/>
  <c r="AX10" i="1"/>
  <c r="BF9" i="1"/>
  <c r="BB9" i="1"/>
  <c r="AX9" i="1"/>
  <c r="BF8" i="1"/>
  <c r="BB8" i="1"/>
  <c r="AX8" i="1"/>
  <c r="BF7" i="1"/>
  <c r="BB7" i="1"/>
  <c r="AX7" i="1"/>
  <c r="BF6" i="1"/>
  <c r="BB6" i="1"/>
  <c r="AX6" i="1"/>
  <c r="BF5" i="1"/>
  <c r="BB5" i="1"/>
  <c r="AX5" i="1"/>
  <c r="BF4" i="1"/>
  <c r="BB4" i="1"/>
  <c r="AX4" i="1"/>
  <c r="BF75" i="1"/>
  <c r="AX73" i="1"/>
  <c r="AX69" i="1"/>
  <c r="BB66" i="1"/>
  <c r="AX65" i="1"/>
  <c r="BB62" i="1"/>
  <c r="BF59" i="1"/>
  <c r="BE57" i="1"/>
  <c r="AX55" i="1"/>
  <c r="AW51" i="1"/>
  <c r="BA49" i="1"/>
  <c r="AV48" i="1"/>
  <c r="BB46" i="1"/>
  <c r="AY45" i="1"/>
  <c r="AX44" i="1"/>
  <c r="BF42" i="1"/>
  <c r="AX42" i="1"/>
  <c r="BF40" i="1"/>
  <c r="BB39" i="1"/>
  <c r="AX38" i="1"/>
  <c r="BF36" i="1"/>
  <c r="BB35" i="1"/>
  <c r="AX34" i="1"/>
  <c r="AW33" i="1"/>
  <c r="AX32" i="1"/>
  <c r="AY31" i="1"/>
  <c r="BA30" i="1"/>
  <c r="AX28" i="1"/>
  <c r="AY27" i="1"/>
  <c r="BA26" i="1"/>
  <c r="BB25" i="1"/>
  <c r="BC24" i="1"/>
  <c r="BE23" i="1"/>
  <c r="BF22" i="1"/>
  <c r="AU22" i="1"/>
  <c r="AW21" i="1"/>
  <c r="AX20" i="1"/>
  <c r="AY19" i="1"/>
  <c r="BA18" i="1"/>
  <c r="BB17" i="1"/>
  <c r="BC16" i="1"/>
  <c r="BE15" i="1"/>
  <c r="BE14" i="1"/>
  <c r="BA14" i="1"/>
  <c r="BE13" i="1"/>
  <c r="AW13" i="1"/>
  <c r="BA12" i="1"/>
  <c r="BA11" i="1"/>
  <c r="BE10" i="1"/>
  <c r="AW10" i="1"/>
  <c r="BA9" i="1"/>
  <c r="BE8" i="1"/>
  <c r="AW8" i="1"/>
  <c r="BA7" i="1"/>
  <c r="BE6" i="1"/>
  <c r="AW6" i="1"/>
  <c r="AW73" i="1"/>
  <c r="BE67" i="1"/>
  <c r="BA62" i="1"/>
  <c r="BA58" i="1"/>
  <c r="BE50" i="1"/>
  <c r="BB48" i="1"/>
  <c r="AY46" i="1"/>
  <c r="BC42" i="1"/>
  <c r="AU40" i="1"/>
  <c r="AY37" i="1"/>
  <c r="BC34" i="1"/>
  <c r="BB32" i="1"/>
  <c r="BE30" i="1"/>
  <c r="BA29" i="1"/>
  <c r="BE26" i="1"/>
  <c r="BA25" i="1"/>
  <c r="AW24" i="1"/>
  <c r="AY22" i="1"/>
  <c r="AU21" i="1"/>
  <c r="AX19" i="1"/>
  <c r="BA17" i="1"/>
  <c r="AW16" i="1"/>
  <c r="BD14" i="1"/>
  <c r="AZ13" i="1"/>
  <c r="AV11" i="1"/>
  <c r="BD9" i="1"/>
  <c r="AZ8" i="1"/>
  <c r="AV6" i="1"/>
  <c r="AZ5" i="1"/>
  <c r="BD4" i="1"/>
  <c r="AV4" i="1"/>
  <c r="AX57" i="1"/>
  <c r="BD47" i="1"/>
  <c r="AU44" i="1"/>
  <c r="BC38" i="1"/>
  <c r="BA33" i="1"/>
  <c r="AU29" i="1"/>
  <c r="AU25" i="1"/>
  <c r="BF21" i="1"/>
  <c r="AY18" i="1"/>
  <c r="AZ15" i="1"/>
  <c r="BD12" i="1"/>
  <c r="AZ10" i="1"/>
  <c r="BD7" i="1"/>
  <c r="BD5" i="1"/>
  <c r="AZ4" i="1"/>
  <c r="AW69" i="1"/>
  <c r="BF53" i="1"/>
  <c r="AU47" i="1"/>
  <c r="AY43" i="1"/>
  <c r="AU38" i="1"/>
  <c r="AU33" i="1"/>
  <c r="BF29" i="1"/>
  <c r="BF25" i="1"/>
  <c r="BE22" i="1"/>
  <c r="BF17" i="1"/>
  <c r="AV15" i="1"/>
  <c r="AZ12" i="1"/>
  <c r="AV10" i="1"/>
  <c r="BD8" i="1"/>
  <c r="AZ6" i="1"/>
  <c r="BE4" i="1"/>
  <c r="BE71" i="1"/>
  <c r="BA66" i="1"/>
  <c r="AW61" i="1"/>
  <c r="BB52" i="1"/>
  <c r="BC44" i="1"/>
  <c r="AU42" i="1"/>
  <c r="AY39" i="1"/>
  <c r="BC36" i="1"/>
  <c r="AU34" i="1"/>
  <c r="AW32" i="1"/>
  <c r="AY30" i="1"/>
  <c r="BC27" i="1"/>
  <c r="AY26" i="1"/>
  <c r="BC23" i="1"/>
  <c r="BB20" i="1"/>
  <c r="BE18" i="1"/>
  <c r="BD15" i="1"/>
  <c r="AZ14" i="1"/>
  <c r="AV13" i="1"/>
  <c r="AV12" i="1"/>
  <c r="BD10" i="1"/>
  <c r="AZ9" i="1"/>
  <c r="AV8" i="1"/>
  <c r="AV7" i="1"/>
  <c r="BE5" i="1"/>
  <c r="AW5" i="1"/>
  <c r="BA4" i="1"/>
  <c r="BE75" i="1"/>
  <c r="BA70" i="1"/>
  <c r="AW65" i="1"/>
  <c r="BE59" i="1"/>
  <c r="AZ49" i="1"/>
  <c r="BF45" i="1"/>
  <c r="AY41" i="1"/>
  <c r="AU36" i="1"/>
  <c r="BC31" i="1"/>
  <c r="AX27" i="1"/>
  <c r="AX23" i="1"/>
  <c r="AW20" i="1"/>
  <c r="AU17" i="1"/>
  <c r="AV14" i="1"/>
  <c r="BD11" i="1"/>
  <c r="AV9" i="1"/>
  <c r="BD6" i="1"/>
  <c r="AV5" i="1"/>
  <c r="BA74" i="1"/>
  <c r="BE63" i="1"/>
  <c r="BD51" i="1"/>
  <c r="AX45" i="1"/>
  <c r="BC40" i="1"/>
  <c r="AY35" i="1"/>
  <c r="AX31" i="1"/>
  <c r="BB28" i="1"/>
  <c r="BB24" i="1"/>
  <c r="BA21" i="1"/>
  <c r="BC19" i="1"/>
  <c r="BB16" i="1"/>
  <c r="BD13" i="1"/>
  <c r="AZ11" i="1"/>
  <c r="AZ7" i="1"/>
  <c r="BA5" i="1"/>
  <c r="FX20" i="1"/>
  <c r="FX19" i="1"/>
  <c r="FX18" i="1"/>
  <c r="FX17" i="1"/>
  <c r="FX16" i="1"/>
  <c r="FX15" i="1"/>
  <c r="FX14" i="1"/>
  <c r="FX13" i="1"/>
  <c r="FX12" i="1"/>
  <c r="FX11" i="1"/>
  <c r="FX10" i="1"/>
  <c r="FX9" i="1"/>
  <c r="FX8" i="1"/>
  <c r="B51" i="1" l="1"/>
  <c r="O50" i="1" l="1"/>
  <c r="O49" i="1"/>
  <c r="O48" i="1"/>
  <c r="O47" i="1"/>
  <c r="O46" i="1"/>
  <c r="O45" i="1"/>
  <c r="O44" i="1"/>
  <c r="O42" i="1"/>
  <c r="O41" i="1"/>
  <c r="O40" i="1"/>
  <c r="O39" i="1"/>
  <c r="O38" i="1"/>
  <c r="O36" i="1"/>
  <c r="O35" i="1"/>
  <c r="O34" i="1"/>
  <c r="O33" i="1"/>
  <c r="O32" i="1"/>
  <c r="O30" i="1"/>
  <c r="O29" i="1"/>
  <c r="O28" i="1"/>
  <c r="O27" i="1"/>
  <c r="O26" i="1"/>
  <c r="O25" i="1"/>
  <c r="O24" i="1"/>
  <c r="O23" i="1"/>
  <c r="O22" i="1"/>
  <c r="CU147" i="1"/>
  <c r="CU146" i="1"/>
  <c r="CU145" i="1"/>
  <c r="CU144" i="1"/>
  <c r="CU143" i="1"/>
  <c r="CU142" i="1"/>
  <c r="CU141" i="1"/>
  <c r="CU140" i="1"/>
  <c r="CU139" i="1"/>
  <c r="CU138" i="1"/>
  <c r="CU137" i="1"/>
  <c r="CU136" i="1"/>
  <c r="CU135" i="1"/>
  <c r="CU134" i="1"/>
  <c r="CU133" i="1"/>
  <c r="CU132" i="1"/>
  <c r="CU131" i="1"/>
  <c r="CU130" i="1"/>
  <c r="CU129" i="1"/>
  <c r="CU128" i="1"/>
  <c r="AA20" i="1" l="1"/>
  <c r="AA19" i="1"/>
  <c r="AA18" i="1"/>
  <c r="AA17" i="1"/>
  <c r="AA16" i="1"/>
  <c r="AA15" i="1"/>
  <c r="AA14" i="1"/>
  <c r="AA13" i="1"/>
  <c r="AA12" i="1"/>
  <c r="AA11" i="1"/>
  <c r="AA10" i="1"/>
  <c r="AA9" i="1"/>
  <c r="AA8" i="1"/>
  <c r="R17" i="1" l="1"/>
  <c r="Q17" i="1"/>
  <c r="R14" i="1"/>
  <c r="Q14" i="1"/>
  <c r="Q18" i="1"/>
  <c r="R18" i="1"/>
  <c r="R13" i="1"/>
  <c r="Q13" i="1"/>
  <c r="Q15" i="1"/>
  <c r="R15" i="1"/>
  <c r="Q19" i="1"/>
  <c r="R19" i="1"/>
  <c r="Q16" i="1"/>
  <c r="R16" i="1"/>
  <c r="Q20" i="1"/>
  <c r="R20" i="1"/>
  <c r="P20" i="1"/>
  <c r="P17" i="1"/>
  <c r="P16" i="1"/>
  <c r="P18" i="1"/>
  <c r="P15" i="1"/>
  <c r="P19" i="1"/>
  <c r="GH18" i="1"/>
  <c r="GH17" i="1"/>
  <c r="GH16" i="1"/>
  <c r="GH15" i="1"/>
  <c r="GH14" i="1"/>
  <c r="GH13" i="1"/>
  <c r="GH12" i="1"/>
  <c r="GH11" i="1"/>
  <c r="GH10" i="1"/>
  <c r="GH9" i="1"/>
  <c r="GH7" i="1"/>
  <c r="GH19" i="1" l="1"/>
  <c r="GH21" i="1" s="1"/>
  <c r="FB57" i="1"/>
  <c r="FB56" i="1"/>
  <c r="FB55" i="1"/>
  <c r="FB54" i="1"/>
  <c r="FB53" i="1"/>
  <c r="FB52" i="1"/>
  <c r="FB51" i="1"/>
  <c r="FB50" i="1"/>
  <c r="FB49" i="1"/>
  <c r="FB48" i="1"/>
  <c r="FB47" i="1"/>
  <c r="FB46" i="1"/>
  <c r="FB45" i="1"/>
  <c r="FB44" i="1"/>
  <c r="FB43" i="1"/>
  <c r="FB42" i="1"/>
  <c r="FB41" i="1"/>
  <c r="FB40" i="1"/>
  <c r="FB39" i="1"/>
  <c r="FB38" i="1"/>
  <c r="FJ57" i="1"/>
  <c r="FJ56" i="1"/>
  <c r="FJ55" i="1"/>
  <c r="FJ54" i="1"/>
  <c r="FJ53" i="1"/>
  <c r="FJ52" i="1"/>
  <c r="FJ51" i="1"/>
  <c r="FJ50" i="1"/>
  <c r="FJ49" i="1"/>
  <c r="FJ48" i="1"/>
  <c r="FJ47" i="1"/>
  <c r="FJ46" i="1"/>
  <c r="FJ45" i="1"/>
  <c r="FJ44" i="1"/>
  <c r="FJ43" i="1"/>
  <c r="FJ42" i="1"/>
  <c r="FJ41" i="1"/>
  <c r="FJ40" i="1"/>
  <c r="FJ39" i="1"/>
  <c r="FJ38" i="1"/>
  <c r="FD22" i="1"/>
  <c r="FD8" i="1"/>
  <c r="FD20" i="1"/>
  <c r="FD19" i="1"/>
  <c r="FD18" i="1"/>
  <c r="FD17" i="1"/>
  <c r="FD16" i="1"/>
  <c r="FD15" i="1"/>
  <c r="FD14" i="1"/>
  <c r="FD13" i="1"/>
  <c r="FD12" i="1"/>
  <c r="FD11" i="1"/>
  <c r="FD10" i="1"/>
  <c r="FD9" i="1"/>
  <c r="FC20" i="1"/>
  <c r="FC19" i="1"/>
  <c r="FC18" i="1"/>
  <c r="FC17" i="1"/>
  <c r="FC16" i="1"/>
  <c r="FC15" i="1"/>
  <c r="FC14" i="1"/>
  <c r="FC13" i="1"/>
  <c r="FC12" i="1"/>
  <c r="FC11" i="1"/>
  <c r="FC10" i="1"/>
  <c r="FC9" i="1"/>
  <c r="FC8" i="1"/>
  <c r="FA20" i="1"/>
  <c r="FB20" i="1" s="1"/>
  <c r="FA19" i="1"/>
  <c r="FB19" i="1" s="1"/>
  <c r="FA18" i="1"/>
  <c r="FB18" i="1" s="1"/>
  <c r="FA17" i="1"/>
  <c r="FB17" i="1" s="1"/>
  <c r="FA16" i="1"/>
  <c r="FB16" i="1" s="1"/>
  <c r="FA15" i="1"/>
  <c r="FB15" i="1" s="1"/>
  <c r="FA14" i="1"/>
  <c r="FA13" i="1"/>
  <c r="FB13" i="1" s="1"/>
  <c r="FA12" i="1"/>
  <c r="FB12" i="1" s="1"/>
  <c r="FA11" i="1"/>
  <c r="FB11" i="1" s="1"/>
  <c r="FA10" i="1"/>
  <c r="FB10" i="1" s="1"/>
  <c r="FA9" i="1"/>
  <c r="FA8" i="1"/>
  <c r="F50" i="1" l="1"/>
  <c r="GH28" i="1"/>
  <c r="FC22" i="1"/>
  <c r="H50" i="1"/>
  <c r="V20" i="1" l="1"/>
  <c r="V19" i="1"/>
  <c r="V18" i="1"/>
  <c r="V17" i="1"/>
  <c r="V14" i="1"/>
  <c r="GT26" i="1" l="1"/>
  <c r="HF26" i="1"/>
  <c r="HE26" i="1"/>
  <c r="HD26" i="1"/>
  <c r="HC26" i="1"/>
  <c r="HB26" i="1"/>
  <c r="HA26" i="1"/>
  <c r="GZ26" i="1"/>
  <c r="GY26" i="1"/>
  <c r="GX26" i="1"/>
  <c r="GW26" i="1"/>
  <c r="GV26" i="1"/>
  <c r="GU26" i="1"/>
  <c r="FO50" i="1"/>
  <c r="BR96" i="1"/>
  <c r="BR91" i="1"/>
  <c r="DE69" i="1"/>
  <c r="DE68" i="1"/>
  <c r="DC69" i="1"/>
  <c r="DC68" i="1"/>
  <c r="CG79" i="1" l="1"/>
  <c r="CG80" i="1"/>
  <c r="CG78" i="1"/>
  <c r="CG77" i="1"/>
  <c r="CG76" i="1"/>
  <c r="CG75" i="1"/>
  <c r="CG74" i="1"/>
  <c r="CG73" i="1"/>
  <c r="CG72" i="1"/>
  <c r="CG71" i="1"/>
  <c r="CG70" i="1"/>
  <c r="CD78" i="1"/>
  <c r="BZ78" i="1"/>
  <c r="BV78" i="1"/>
  <c r="BR79" i="1"/>
  <c r="DS15" i="1" l="1"/>
  <c r="DS10" i="1"/>
  <c r="DS5" i="1"/>
  <c r="Q7" i="1" l="1"/>
  <c r="FM49" i="1"/>
  <c r="FM48" i="1"/>
  <c r="FM47" i="1"/>
  <c r="FM46" i="1"/>
  <c r="FM44" i="1"/>
  <c r="FM43" i="1"/>
  <c r="FM41" i="1"/>
  <c r="FM40" i="1"/>
  <c r="FM38" i="1"/>
  <c r="FM37" i="1"/>
  <c r="FM35" i="1"/>
  <c r="FM33" i="1"/>
  <c r="FM32" i="1"/>
  <c r="FM31" i="1"/>
  <c r="FL49" i="1"/>
  <c r="FL48" i="1"/>
  <c r="FL47" i="1"/>
  <c r="FL46" i="1"/>
  <c r="FL45" i="1"/>
  <c r="FL44" i="1"/>
  <c r="FL43" i="1"/>
  <c r="FL41" i="1"/>
  <c r="FL40" i="1"/>
  <c r="FL39" i="1"/>
  <c r="FL38" i="1"/>
  <c r="FL37" i="1"/>
  <c r="FL35" i="1"/>
  <c r="FL34" i="1"/>
  <c r="FL33" i="1"/>
  <c r="FL32" i="1"/>
  <c r="FL31" i="1"/>
  <c r="FL29" i="1"/>
  <c r="FL28" i="1"/>
  <c r="FL27" i="1"/>
  <c r="FL26" i="1"/>
  <c r="FL25" i="1"/>
  <c r="FL24" i="1"/>
  <c r="FL23" i="1"/>
  <c r="FM28" i="1"/>
  <c r="FR42" i="1"/>
  <c r="FP42" i="1"/>
  <c r="FO42" i="1"/>
  <c r="FR41" i="1"/>
  <c r="FO41" i="1"/>
  <c r="FR40" i="1"/>
  <c r="FQ40" i="1"/>
  <c r="FO40" i="1"/>
  <c r="FR39" i="1"/>
  <c r="FQ39" i="1"/>
  <c r="FP39" i="1"/>
  <c r="FO39" i="1"/>
  <c r="FR38" i="1"/>
  <c r="FQ38" i="1"/>
  <c r="FP38" i="1"/>
  <c r="FO38" i="1"/>
  <c r="FN38" i="1"/>
  <c r="FR36" i="1"/>
  <c r="FP36" i="1"/>
  <c r="FO36" i="1"/>
  <c r="FR35" i="1"/>
  <c r="FO35" i="1"/>
  <c r="FP43" i="1"/>
  <c r="FP37" i="1"/>
  <c r="FP31" i="1"/>
  <c r="FR29" i="1"/>
  <c r="FO30" i="1"/>
  <c r="FO29" i="1"/>
  <c r="AE25" i="1" l="1"/>
  <c r="AE24" i="1"/>
  <c r="F25" i="1"/>
  <c r="E40" i="1"/>
  <c r="FP40" i="1" s="1"/>
  <c r="E34" i="1"/>
  <c r="E25" i="1"/>
  <c r="HF23" i="1" l="1"/>
  <c r="HE23" i="1"/>
  <c r="HD23" i="1"/>
  <c r="HA23" i="1"/>
  <c r="HB23" i="1"/>
  <c r="HC23" i="1"/>
  <c r="GZ23" i="1"/>
  <c r="GY23" i="1"/>
  <c r="GX23" i="1"/>
  <c r="GW23" i="1"/>
  <c r="GV23" i="1"/>
  <c r="GU23" i="1"/>
  <c r="GT23" i="1"/>
  <c r="ET25" i="1"/>
  <c r="HE7" i="1"/>
  <c r="AB60" i="1"/>
  <c r="AB59" i="1"/>
  <c r="B42" i="1" l="1"/>
  <c r="FM42" i="1" s="1"/>
  <c r="B39" i="1"/>
  <c r="FM39" i="1" s="1"/>
  <c r="B34" i="1"/>
  <c r="FM34" i="1" s="1"/>
  <c r="F41" i="1"/>
  <c r="FQ41" i="1" s="1"/>
  <c r="E41" i="1"/>
  <c r="FP41" i="1" s="1"/>
  <c r="EW20" i="1"/>
  <c r="EW19" i="1"/>
  <c r="EW18" i="1"/>
  <c r="EW17" i="1"/>
  <c r="EW16" i="1"/>
  <c r="EW15" i="1"/>
  <c r="EW14" i="1"/>
  <c r="EW13" i="1"/>
  <c r="EW8" i="1"/>
  <c r="EW9" i="1"/>
  <c r="EW10" i="1"/>
  <c r="EW11" i="1"/>
  <c r="V15" i="1" l="1"/>
  <c r="V10" i="1"/>
  <c r="V16" i="1"/>
  <c r="U20" i="1"/>
  <c r="U16" i="1"/>
  <c r="U12" i="1"/>
  <c r="U18" i="1"/>
  <c r="U17" i="1"/>
  <c r="U19" i="1"/>
  <c r="U15" i="1"/>
  <c r="U14" i="1"/>
  <c r="T15" i="1"/>
  <c r="T17" i="1"/>
  <c r="T16" i="1"/>
  <c r="T19" i="1"/>
  <c r="T20" i="1"/>
  <c r="T14" i="1"/>
  <c r="T18" i="1"/>
  <c r="EW12" i="1"/>
  <c r="EW21" i="1" l="1"/>
  <c r="F27" i="1" l="1"/>
  <c r="EW23" i="1"/>
  <c r="H27" i="1" s="1"/>
  <c r="BL1" i="1"/>
  <c r="W16" i="1" l="1"/>
  <c r="W19" i="1"/>
  <c r="W18" i="1"/>
  <c r="W15" i="1"/>
  <c r="W20" i="1"/>
  <c r="W17" i="1"/>
  <c r="AR16" i="1"/>
  <c r="D5" i="1"/>
  <c r="GS1" i="1" l="1"/>
  <c r="GD15" i="1" l="1"/>
  <c r="GC15" i="1"/>
  <c r="FY15" i="1"/>
  <c r="GE14" i="1"/>
  <c r="GD14" i="1"/>
  <c r="GC14" i="1"/>
  <c r="FY14" i="1"/>
  <c r="GE13" i="1"/>
  <c r="GD13" i="1"/>
  <c r="GC13" i="1"/>
  <c r="FY13" i="1"/>
  <c r="GE12" i="1"/>
  <c r="GD12" i="1"/>
  <c r="GC12" i="1"/>
  <c r="FY12" i="1"/>
  <c r="GE11" i="1"/>
  <c r="GD11" i="1"/>
  <c r="GC11" i="1"/>
  <c r="FY11" i="1"/>
  <c r="GE10" i="1"/>
  <c r="GD10" i="1"/>
  <c r="GC10" i="1"/>
  <c r="FY10" i="1"/>
  <c r="GE9" i="1"/>
  <c r="GD9" i="1"/>
  <c r="GC9" i="1"/>
  <c r="FY9" i="1"/>
  <c r="GE8" i="1"/>
  <c r="GD8" i="1"/>
  <c r="GC8" i="1"/>
  <c r="FY8" i="1"/>
  <c r="GE20" i="1"/>
  <c r="GD20" i="1"/>
  <c r="GC20" i="1"/>
  <c r="FY20" i="1"/>
  <c r="GE19" i="1"/>
  <c r="GD19" i="1"/>
  <c r="GC19" i="1"/>
  <c r="FY19" i="1"/>
  <c r="GE18" i="1"/>
  <c r="GD18" i="1"/>
  <c r="GC18" i="1"/>
  <c r="FY18" i="1"/>
  <c r="GE17" i="1"/>
  <c r="GD17" i="1"/>
  <c r="GC17" i="1"/>
  <c r="FY17" i="1"/>
  <c r="GE16" i="1"/>
  <c r="GD16" i="1"/>
  <c r="GC16" i="1"/>
  <c r="FY16" i="1"/>
  <c r="GE15" i="1"/>
  <c r="FZ20" i="1" l="1"/>
  <c r="FZ19" i="1"/>
  <c r="FZ18" i="1"/>
  <c r="FZ17" i="1"/>
  <c r="FZ16" i="1"/>
  <c r="FZ15" i="1"/>
  <c r="FZ14" i="1"/>
  <c r="FZ13" i="1"/>
  <c r="FZ12" i="1"/>
  <c r="FZ11" i="1"/>
  <c r="FZ10" i="1"/>
  <c r="FZ9" i="1"/>
  <c r="FZ8" i="1"/>
  <c r="DE74" i="1"/>
  <c r="DE73" i="1"/>
  <c r="DE72" i="1"/>
  <c r="DE71" i="1"/>
  <c r="DE70" i="1"/>
  <c r="DE67" i="1"/>
  <c r="DE66" i="1"/>
  <c r="DE65" i="1"/>
  <c r="DE64" i="1"/>
  <c r="DE63" i="1"/>
  <c r="DE62" i="1"/>
  <c r="DE61" i="1"/>
  <c r="DE60" i="1"/>
  <c r="DE59" i="1"/>
  <c r="DE58" i="1"/>
  <c r="DE57" i="1"/>
  <c r="DE56" i="1"/>
  <c r="DE55" i="1"/>
  <c r="DE54" i="1"/>
  <c r="DE53" i="1"/>
  <c r="DE52" i="1"/>
  <c r="DE51" i="1"/>
  <c r="DE50" i="1"/>
  <c r="DE49" i="1"/>
  <c r="DE48" i="1"/>
  <c r="DE47" i="1"/>
  <c r="DE46" i="1"/>
  <c r="DE45" i="1"/>
  <c r="DE44" i="1"/>
  <c r="DE43" i="1"/>
  <c r="DE42" i="1"/>
  <c r="DE41" i="1"/>
  <c r="DE40" i="1"/>
  <c r="DE39" i="1"/>
  <c r="DE38" i="1"/>
  <c r="DE37" i="1"/>
  <c r="DE36" i="1"/>
  <c r="DE35" i="1"/>
  <c r="DE34" i="1"/>
  <c r="DE33" i="1"/>
  <c r="DE32" i="1"/>
  <c r="DE31" i="1"/>
  <c r="DE30" i="1"/>
  <c r="DE29" i="1"/>
  <c r="DE28" i="1"/>
  <c r="DE27" i="1"/>
  <c r="DE26" i="1"/>
  <c r="DE25" i="1"/>
  <c r="DE24" i="1"/>
  <c r="DE23" i="1"/>
  <c r="DE22" i="1"/>
  <c r="DE21" i="1"/>
  <c r="DE20" i="1"/>
  <c r="DE19" i="1"/>
  <c r="DE18" i="1"/>
  <c r="DE17" i="1"/>
  <c r="DE16" i="1"/>
  <c r="DE15" i="1"/>
  <c r="DE14" i="1"/>
  <c r="DE13" i="1"/>
  <c r="DE12" i="1"/>
  <c r="DE11" i="1"/>
  <c r="DE10" i="1"/>
  <c r="DE9" i="1"/>
  <c r="DE8" i="1"/>
  <c r="DE7" i="1"/>
  <c r="DE6" i="1"/>
  <c r="DE5" i="1"/>
  <c r="DE4" i="1"/>
  <c r="DE3" i="1"/>
  <c r="DC62" i="1"/>
  <c r="DN23" i="1"/>
  <c r="DS22" i="1" l="1"/>
  <c r="DS21" i="1"/>
  <c r="DS20" i="1"/>
  <c r="DS19" i="1"/>
  <c r="DS18" i="1"/>
  <c r="DS17" i="1"/>
  <c r="DS16" i="1"/>
  <c r="DS14" i="1"/>
  <c r="DS13" i="1"/>
  <c r="DS12" i="1"/>
  <c r="DS11" i="1"/>
  <c r="DS9" i="1"/>
  <c r="DS8" i="1"/>
  <c r="DS7" i="1"/>
  <c r="DS6" i="1"/>
  <c r="DS4" i="1"/>
  <c r="DS3" i="1"/>
  <c r="DX36" i="1"/>
  <c r="DX35" i="1"/>
  <c r="DX34" i="1"/>
  <c r="DX33" i="1"/>
  <c r="DX30" i="1"/>
  <c r="DX29" i="1"/>
  <c r="DX28" i="1"/>
  <c r="DX27" i="1"/>
  <c r="DX26" i="1"/>
  <c r="DX23" i="1"/>
  <c r="DX22" i="1"/>
  <c r="DX21" i="1"/>
  <c r="DX20" i="1"/>
  <c r="DX19" i="1"/>
  <c r="DX18" i="1"/>
  <c r="DX17" i="1"/>
  <c r="DX16" i="1"/>
  <c r="DX13" i="1"/>
  <c r="DX12" i="1"/>
  <c r="DX11" i="1"/>
  <c r="DX10" i="1"/>
  <c r="DX9" i="1"/>
  <c r="DX8" i="1"/>
  <c r="DX7" i="1"/>
  <c r="DX6" i="1"/>
  <c r="DX5" i="1"/>
  <c r="DX4" i="1"/>
  <c r="DX3" i="1"/>
  <c r="AQ14" i="1"/>
  <c r="AP14" i="1"/>
  <c r="AO14" i="1"/>
  <c r="AN14" i="1"/>
  <c r="AQ13" i="1"/>
  <c r="AP13" i="1"/>
  <c r="AO13" i="1"/>
  <c r="AN13" i="1"/>
  <c r="AQ12" i="1"/>
  <c r="AP12" i="1"/>
  <c r="AO12" i="1"/>
  <c r="AN12" i="1"/>
  <c r="AQ11" i="1"/>
  <c r="AP11" i="1"/>
  <c r="AO11" i="1"/>
  <c r="AN11" i="1"/>
  <c r="AQ10" i="1"/>
  <c r="AP10" i="1"/>
  <c r="AO10" i="1"/>
  <c r="AN10" i="1"/>
  <c r="AQ9" i="1"/>
  <c r="AP9" i="1"/>
  <c r="AO9" i="1"/>
  <c r="AN9" i="1"/>
  <c r="AQ8" i="1"/>
  <c r="AP8" i="1"/>
  <c r="AO8" i="1"/>
  <c r="AN8" i="1"/>
  <c r="AQ7" i="1"/>
  <c r="AP7" i="1"/>
  <c r="AO7" i="1"/>
  <c r="AN7" i="1"/>
  <c r="AQ6" i="1"/>
  <c r="AP6" i="1"/>
  <c r="AO6" i="1"/>
  <c r="AN6" i="1"/>
  <c r="AQ5" i="1"/>
  <c r="AP5" i="1"/>
  <c r="AO5" i="1"/>
  <c r="AN5" i="1"/>
  <c r="AQ4" i="1"/>
  <c r="AP4" i="1"/>
  <c r="AO4" i="1"/>
  <c r="AN4" i="1"/>
  <c r="AQ3" i="1"/>
  <c r="AP3" i="1"/>
  <c r="AO3" i="1"/>
  <c r="AN3" i="1"/>
  <c r="FO21" i="1"/>
  <c r="HF18" i="1" l="1"/>
  <c r="HE18" i="1"/>
  <c r="HD18" i="1"/>
  <c r="HC18" i="1"/>
  <c r="HB18" i="1"/>
  <c r="HA18" i="1"/>
  <c r="GZ18" i="1"/>
  <c r="GY18" i="1"/>
  <c r="GX18" i="1"/>
  <c r="GW18" i="1"/>
  <c r="GV18" i="1"/>
  <c r="GT18" i="1"/>
  <c r="GU18" i="1"/>
  <c r="AM29" i="1"/>
  <c r="AM30" i="1" l="1"/>
  <c r="GT2" i="1" l="1"/>
  <c r="D2" i="1"/>
  <c r="FU19" i="1"/>
  <c r="FU17" i="1"/>
  <c r="FU18" i="1"/>
  <c r="FU20" i="1"/>
  <c r="FU16" i="1"/>
  <c r="FU14" i="1"/>
  <c r="FU13" i="1"/>
  <c r="FU15" i="1"/>
  <c r="FU11" i="1"/>
  <c r="FU12" i="1"/>
  <c r="FU9" i="1"/>
  <c r="FU10" i="1"/>
  <c r="FU8" i="1"/>
  <c r="X5" i="1"/>
  <c r="Y20" i="1" l="1"/>
  <c r="X20" i="1" s="1"/>
  <c r="Y19" i="1"/>
  <c r="X19" i="1" s="1"/>
  <c r="Y18" i="1"/>
  <c r="X18" i="1" s="1"/>
  <c r="Y17" i="1"/>
  <c r="X17" i="1" s="1"/>
  <c r="Y16" i="1"/>
  <c r="X16" i="1" s="1"/>
  <c r="Y15" i="1"/>
  <c r="X15" i="1" s="1"/>
  <c r="Y14" i="1"/>
  <c r="X14" i="1" s="1"/>
  <c r="Y13" i="1"/>
  <c r="X13" i="1" s="1"/>
  <c r="Y12" i="1"/>
  <c r="X12" i="1" s="1"/>
  <c r="Y11" i="1"/>
  <c r="X11" i="1" s="1"/>
  <c r="Y10" i="1"/>
  <c r="X10" i="1" s="1"/>
  <c r="Y9" i="1"/>
  <c r="X9" i="1" s="1"/>
  <c r="Y8" i="1"/>
  <c r="X8" i="1" s="1"/>
  <c r="CU81" i="1"/>
  <c r="CU79" i="1"/>
  <c r="CU78" i="1"/>
  <c r="CU77" i="1"/>
  <c r="CU76" i="1"/>
  <c r="CU74" i="1"/>
  <c r="CU73" i="1"/>
  <c r="CU72" i="1"/>
  <c r="CU71" i="1"/>
  <c r="CU70" i="1"/>
  <c r="CU67" i="1"/>
  <c r="CU66" i="1"/>
  <c r="CU65" i="1"/>
  <c r="CU64" i="1"/>
  <c r="CU63" i="1"/>
  <c r="CU62" i="1"/>
  <c r="CU61" i="1"/>
  <c r="CU60" i="1"/>
  <c r="CU59" i="1"/>
  <c r="CU58" i="1"/>
  <c r="CU57" i="1"/>
  <c r="CU56" i="1"/>
  <c r="CU55" i="1"/>
  <c r="CU54" i="1"/>
  <c r="CU53" i="1"/>
  <c r="CU52" i="1"/>
  <c r="CU51" i="1"/>
  <c r="CU50" i="1"/>
  <c r="CU49" i="1"/>
  <c r="CU48" i="1"/>
  <c r="CU47" i="1"/>
  <c r="CU46" i="1"/>
  <c r="CU45" i="1"/>
  <c r="CU44" i="1"/>
  <c r="CU43" i="1"/>
  <c r="CU42" i="1"/>
  <c r="CU41" i="1"/>
  <c r="CU40" i="1"/>
  <c r="CU39" i="1"/>
  <c r="CU35" i="1"/>
  <c r="CU34" i="1"/>
  <c r="CU33" i="1"/>
  <c r="CU32" i="1"/>
  <c r="CU31" i="1"/>
  <c r="CU30" i="1"/>
  <c r="CU29" i="1"/>
  <c r="CU28" i="1"/>
  <c r="CU27" i="1"/>
  <c r="CU26" i="1"/>
  <c r="CU23" i="1"/>
  <c r="CU22" i="1"/>
  <c r="CU21" i="1"/>
  <c r="CU20" i="1"/>
  <c r="CU19" i="1"/>
  <c r="CU18" i="1"/>
  <c r="CU17" i="1"/>
  <c r="CU16" i="1"/>
  <c r="CU15" i="1"/>
  <c r="CU14" i="1"/>
  <c r="CU13" i="1"/>
  <c r="CU12" i="1"/>
  <c r="CU11" i="1"/>
  <c r="CU10" i="1"/>
  <c r="CU9" i="1"/>
  <c r="CU8" i="1"/>
  <c r="CU7" i="1"/>
  <c r="CU6" i="1"/>
  <c r="CU5" i="1"/>
  <c r="CU4" i="1"/>
  <c r="CU3" i="1"/>
  <c r="Q11" i="1" l="1"/>
  <c r="R12" i="1"/>
  <c r="R11" i="1"/>
  <c r="Q12" i="1"/>
  <c r="Q24" i="1"/>
  <c r="Q42" i="1"/>
  <c r="Q34" i="1"/>
  <c r="Q22" i="1"/>
  <c r="Q40" i="1"/>
  <c r="Q27" i="1"/>
  <c r="Q46" i="1"/>
  <c r="Q28" i="1"/>
  <c r="Q47" i="1"/>
  <c r="Q39" i="1"/>
  <c r="Q26" i="1"/>
  <c r="Q45" i="1"/>
  <c r="Q32" i="1"/>
  <c r="Q50" i="1"/>
  <c r="Q33" i="1"/>
  <c r="Q25" i="1"/>
  <c r="Q44" i="1"/>
  <c r="Q30" i="1"/>
  <c r="Q49" i="1"/>
  <c r="Q36" i="1"/>
  <c r="Q38" i="1"/>
  <c r="Q29" i="1"/>
  <c r="Q48" i="1"/>
  <c r="Q35" i="1"/>
  <c r="Q23" i="1"/>
  <c r="Q41" i="1"/>
  <c r="R9" i="1"/>
  <c r="R10" i="1"/>
  <c r="Q8" i="1"/>
  <c r="Q9" i="1"/>
  <c r="Q10" i="1"/>
  <c r="R8" i="1"/>
  <c r="P14" i="1"/>
  <c r="FB14" i="1"/>
  <c r="P23" i="1"/>
  <c r="P44" i="1"/>
  <c r="P36" i="1"/>
  <c r="P30" i="1"/>
  <c r="P38" i="1"/>
  <c r="P29" i="1"/>
  <c r="P8" i="1"/>
  <c r="P11" i="1"/>
  <c r="P40" i="1"/>
  <c r="P47" i="1"/>
  <c r="P48" i="1"/>
  <c r="P34" i="1"/>
  <c r="P41" i="1"/>
  <c r="P33" i="1"/>
  <c r="P28" i="1"/>
  <c r="P9" i="1"/>
  <c r="P10" i="1"/>
  <c r="P49" i="1"/>
  <c r="P24" i="1"/>
  <c r="P39" i="1"/>
  <c r="P42" i="1"/>
  <c r="P50" i="1"/>
  <c r="P32" i="1"/>
  <c r="P26" i="1"/>
  <c r="P12" i="1"/>
  <c r="P27" i="1"/>
  <c r="P35" i="1"/>
  <c r="P45" i="1"/>
  <c r="P25" i="1"/>
  <c r="P46" i="1"/>
  <c r="P22" i="1"/>
  <c r="P13" i="1"/>
  <c r="FB8" i="1"/>
  <c r="FB9" i="1"/>
  <c r="X24" i="1"/>
  <c r="W14" i="1" l="1"/>
  <c r="W12" i="1"/>
  <c r="W13" i="1"/>
  <c r="W10" i="1"/>
  <c r="W8" i="1"/>
  <c r="W9" i="1"/>
  <c r="W11" i="1"/>
  <c r="FB22" i="1"/>
  <c r="FE26" i="1" s="1"/>
  <c r="B23" i="1" s="1"/>
  <c r="EB3" i="1"/>
  <c r="U8" i="1" l="1"/>
  <c r="U11" i="1"/>
  <c r="T8" i="1"/>
  <c r="T9" i="1"/>
  <c r="V13" i="1"/>
  <c r="V11" i="1"/>
  <c r="T10" i="1"/>
  <c r="V9" i="1"/>
  <c r="T13" i="1"/>
  <c r="U9" i="1"/>
  <c r="V12" i="1"/>
  <c r="T12" i="1"/>
  <c r="V8" i="1"/>
  <c r="T11" i="1"/>
  <c r="W5" i="1"/>
  <c r="U10" i="1"/>
  <c r="U13" i="1"/>
  <c r="FE27" i="1"/>
  <c r="E24" i="1" s="1"/>
  <c r="FE22" i="1"/>
  <c r="B25" i="1"/>
  <c r="FN20" i="1"/>
  <c r="FN19" i="1"/>
  <c r="FN18" i="1"/>
  <c r="FN17" i="1"/>
  <c r="FN16" i="1"/>
  <c r="FN15" i="1"/>
  <c r="FN14" i="1"/>
  <c r="FN13" i="1"/>
  <c r="FN12" i="1"/>
  <c r="FN11" i="1"/>
  <c r="FN10" i="1"/>
  <c r="FN9" i="1"/>
  <c r="FN8" i="1"/>
  <c r="CD55" i="1"/>
  <c r="BZ55" i="1"/>
  <c r="BV55" i="1"/>
  <c r="BR55" i="1"/>
  <c r="DC74" i="1"/>
  <c r="DC73" i="1"/>
  <c r="DC72" i="1"/>
  <c r="DC71" i="1"/>
  <c r="DC70" i="1"/>
  <c r="DC67" i="1"/>
  <c r="DC66" i="1"/>
  <c r="DC65" i="1"/>
  <c r="DC64" i="1"/>
  <c r="DC63" i="1"/>
  <c r="DC61" i="1"/>
  <c r="DC60" i="1"/>
  <c r="DC59" i="1"/>
  <c r="DC58" i="1"/>
  <c r="DC57" i="1"/>
  <c r="DC56" i="1"/>
  <c r="DC55" i="1"/>
  <c r="DC54" i="1"/>
  <c r="DC53" i="1"/>
  <c r="DC52" i="1"/>
  <c r="DC51" i="1"/>
  <c r="DC50" i="1"/>
  <c r="DC49" i="1"/>
  <c r="DC48" i="1"/>
  <c r="DC47" i="1"/>
  <c r="DC46" i="1"/>
  <c r="DC45" i="1"/>
  <c r="DC44" i="1"/>
  <c r="DC43" i="1"/>
  <c r="DC42" i="1"/>
  <c r="DC41" i="1"/>
  <c r="DC40" i="1"/>
  <c r="DC39" i="1"/>
  <c r="DC38" i="1"/>
  <c r="DC37" i="1"/>
  <c r="DC36" i="1"/>
  <c r="DC35" i="1"/>
  <c r="DC34" i="1"/>
  <c r="DC33" i="1"/>
  <c r="DC32" i="1"/>
  <c r="DC31" i="1"/>
  <c r="DC30" i="1"/>
  <c r="DC29" i="1"/>
  <c r="DC28" i="1"/>
  <c r="DC27" i="1"/>
  <c r="DC26" i="1"/>
  <c r="DC25" i="1"/>
  <c r="DC24" i="1"/>
  <c r="DC23" i="1"/>
  <c r="DC22" i="1"/>
  <c r="DC21" i="1"/>
  <c r="DC20" i="1"/>
  <c r="DC19" i="1"/>
  <c r="DC18" i="1"/>
  <c r="DC17" i="1"/>
  <c r="DC16" i="1"/>
  <c r="DC15" i="1"/>
  <c r="DC14" i="1"/>
  <c r="DC13" i="1"/>
  <c r="DC12" i="1"/>
  <c r="DC11" i="1"/>
  <c r="DC10" i="1"/>
  <c r="DC9" i="1"/>
  <c r="DC8" i="1"/>
  <c r="DC7" i="1"/>
  <c r="H22" i="1"/>
  <c r="D4" i="1"/>
  <c r="E35" i="1" l="1"/>
  <c r="FP35" i="1" s="1"/>
  <c r="E29" i="1"/>
  <c r="FP29" i="1" s="1"/>
  <c r="GC22" i="1" l="1"/>
  <c r="GC24" i="1"/>
  <c r="GC23" i="1"/>
  <c r="ET26" i="1"/>
  <c r="ET24" i="1"/>
  <c r="ET23" i="1"/>
  <c r="AB77" i="1"/>
  <c r="E49" i="1"/>
  <c r="B29" i="1"/>
  <c r="AN19" i="1"/>
  <c r="HF4" i="1"/>
  <c r="HE4" i="1"/>
  <c r="HD4" i="1"/>
  <c r="HC4" i="1"/>
  <c r="HB4" i="1"/>
  <c r="HA4" i="1"/>
  <c r="GZ4" i="1"/>
  <c r="GY4" i="1"/>
  <c r="GX4" i="1"/>
  <c r="GW4" i="1"/>
  <c r="GV4" i="1"/>
  <c r="GU4" i="1"/>
  <c r="H49" i="1"/>
  <c r="H41" i="1"/>
  <c r="H29" i="1"/>
  <c r="H35" i="1"/>
  <c r="FM29" i="1" l="1"/>
  <c r="D6" i="1"/>
  <c r="F42" i="1"/>
  <c r="FQ42" i="1" s="1"/>
  <c r="A42" i="1"/>
  <c r="FL42" i="1" s="1"/>
  <c r="A36" i="1"/>
  <c r="FL36" i="1" s="1"/>
  <c r="F36" i="1"/>
  <c r="FQ36" i="1" s="1"/>
  <c r="AM25" i="1"/>
  <c r="A30" i="1"/>
  <c r="FL30" i="1" s="1"/>
  <c r="F30" i="1"/>
  <c r="HE10" i="1"/>
  <c r="HD10" i="1"/>
  <c r="HC10" i="1"/>
  <c r="HB10" i="1"/>
  <c r="HA10" i="1"/>
  <c r="GZ10" i="1"/>
  <c r="GY10" i="1"/>
  <c r="GX10" i="1"/>
  <c r="GV10" i="1"/>
  <c r="GW10" i="1"/>
  <c r="HF10" i="1"/>
  <c r="HE31" i="1"/>
  <c r="HD31" i="1"/>
  <c r="HC31" i="1"/>
  <c r="GT31" i="1"/>
  <c r="AD13" i="1"/>
  <c r="AD12" i="1"/>
  <c r="AD11" i="1"/>
  <c r="AD10" i="1"/>
  <c r="H30" i="1"/>
  <c r="H36" i="1"/>
  <c r="H42" i="1"/>
  <c r="GW31" i="1" l="1"/>
  <c r="HA31" i="1"/>
  <c r="GX31" i="1"/>
  <c r="HB31" i="1"/>
  <c r="GY31" i="1"/>
  <c r="GZ31" i="1"/>
  <c r="GV31" i="1"/>
  <c r="HF31" i="1"/>
  <c r="GU10" i="1"/>
  <c r="GT10" i="1"/>
  <c r="GU31" i="1"/>
  <c r="F49" i="1"/>
  <c r="B30" i="1"/>
  <c r="FM30" i="1" l="1"/>
  <c r="E22" i="1"/>
  <c r="E23" i="1" l="1"/>
  <c r="B26" i="1"/>
  <c r="B36" i="1"/>
  <c r="FM36" i="1" s="1"/>
  <c r="FR30" i="1"/>
  <c r="AD3" i="1"/>
  <c r="AD4" i="1"/>
  <c r="AD5" i="1"/>
  <c r="AD6" i="1"/>
  <c r="AD7" i="1"/>
  <c r="H23" i="1"/>
  <c r="GY15" i="1" l="1"/>
  <c r="GX15" i="1"/>
  <c r="HE15" i="1"/>
  <c r="GU15" i="1"/>
  <c r="HC15" i="1"/>
  <c r="HF15" i="1"/>
  <c r="GW15" i="1"/>
  <c r="GV15" i="1"/>
  <c r="GZ15" i="1"/>
  <c r="HB15" i="1"/>
  <c r="HD15" i="1"/>
  <c r="HA15" i="1"/>
  <c r="GT15" i="1"/>
  <c r="F35" i="1"/>
  <c r="FQ35" i="1" s="1"/>
  <c r="F29" i="1"/>
  <c r="FQ29" i="1" s="1"/>
  <c r="FS20" i="1"/>
  <c r="FS19" i="1"/>
  <c r="FS18" i="1"/>
  <c r="FS17" i="1"/>
  <c r="FS16" i="1"/>
  <c r="FS15" i="1"/>
  <c r="FS14" i="1"/>
  <c r="FS13" i="1"/>
  <c r="FS12" i="1"/>
  <c r="FS11" i="1"/>
  <c r="FS10" i="1"/>
  <c r="FS9" i="1"/>
  <c r="FS8" i="1"/>
  <c r="DN22" i="1"/>
  <c r="DN21" i="1"/>
  <c r="DN20" i="1"/>
  <c r="DN19" i="1"/>
  <c r="DN18" i="1"/>
  <c r="DN17" i="1"/>
  <c r="DN16" i="1"/>
  <c r="DN15" i="1"/>
  <c r="DN14" i="1"/>
  <c r="DN13" i="1"/>
  <c r="DN12" i="1"/>
  <c r="DN11" i="1"/>
  <c r="DN10" i="1"/>
  <c r="DN9" i="1"/>
  <c r="DN8" i="1"/>
  <c r="DN7" i="1"/>
  <c r="DN6" i="1"/>
  <c r="DN5" i="1"/>
  <c r="DN4" i="1"/>
  <c r="DN3" i="1"/>
  <c r="DU17" i="1" l="1"/>
  <c r="DU9" i="1"/>
  <c r="DU5" i="1"/>
  <c r="DU16" i="1"/>
  <c r="DU12" i="1"/>
  <c r="DU8" i="1"/>
  <c r="DU4" i="1"/>
  <c r="DU15" i="1"/>
  <c r="DU11" i="1"/>
  <c r="DU7" i="1"/>
  <c r="DU14" i="1"/>
  <c r="DU10" i="1"/>
  <c r="DU6" i="1"/>
  <c r="DU13" i="1"/>
  <c r="DU3" i="1"/>
  <c r="FV17" i="1"/>
  <c r="FV19" i="1"/>
  <c r="FV20" i="1"/>
  <c r="FV18" i="1"/>
  <c r="FV16" i="1"/>
  <c r="FV14" i="1"/>
  <c r="FV15" i="1"/>
  <c r="FV13" i="1"/>
  <c r="FV11" i="1"/>
  <c r="FV10" i="1"/>
  <c r="FV9" i="1"/>
  <c r="FV12" i="1"/>
  <c r="FV8" i="1"/>
  <c r="BR97" i="1" l="1"/>
  <c r="BR95" i="1"/>
  <c r="BR94" i="1"/>
  <c r="BR93" i="1"/>
  <c r="BR92" i="1"/>
  <c r="BR90" i="1"/>
  <c r="BR89" i="1"/>
  <c r="BR88" i="1"/>
  <c r="BR86" i="1"/>
  <c r="BR87" i="1"/>
  <c r="GA20" i="1"/>
  <c r="GA19" i="1"/>
  <c r="GA18" i="1"/>
  <c r="GA17" i="1"/>
  <c r="GA16" i="1"/>
  <c r="GA15" i="1"/>
  <c r="GA14" i="1"/>
  <c r="GA13" i="1"/>
  <c r="GA12" i="1"/>
  <c r="GA11" i="1"/>
  <c r="GA10" i="1"/>
  <c r="GA9" i="1"/>
  <c r="GA8" i="1"/>
  <c r="H24" i="1"/>
  <c r="BR99" i="1" l="1"/>
  <c r="BS84" i="1" s="1"/>
  <c r="BR100" i="1"/>
  <c r="BM1" i="1"/>
  <c r="BK1" i="1"/>
  <c r="BJ1" i="1"/>
  <c r="BI1" i="1"/>
  <c r="H46" i="1"/>
  <c r="GT4" i="1" l="1"/>
  <c r="F46" i="1"/>
  <c r="BN1" i="1"/>
  <c r="D3" i="1" s="1"/>
  <c r="X22" i="1" s="1"/>
  <c r="CD76" i="1" l="1"/>
  <c r="CD72" i="1"/>
  <c r="BZ76" i="1"/>
  <c r="BZ72" i="1"/>
  <c r="BV76" i="1"/>
  <c r="BV72" i="1"/>
  <c r="CD10" i="1"/>
  <c r="BZ10" i="1"/>
  <c r="BV10" i="1"/>
  <c r="BR77" i="1"/>
  <c r="FL20" i="1" l="1"/>
  <c r="FL19" i="1"/>
  <c r="FL18" i="1"/>
  <c r="FL17" i="1"/>
  <c r="FL16" i="1"/>
  <c r="FL15" i="1"/>
  <c r="FL14" i="1"/>
  <c r="FL13" i="1"/>
  <c r="FL12" i="1"/>
  <c r="FL11" i="1"/>
  <c r="FL10" i="1"/>
  <c r="FL9" i="1"/>
  <c r="FL8" i="1"/>
  <c r="FT64" i="1" l="1"/>
  <c r="FT65" i="1"/>
  <c r="FT62" i="1"/>
  <c r="FT61" i="1"/>
  <c r="FT59" i="1"/>
  <c r="FT58" i="1"/>
  <c r="FT57" i="1"/>
  <c r="FT48" i="1"/>
  <c r="FT47" i="1"/>
  <c r="FT46" i="1"/>
  <c r="FT54" i="1"/>
  <c r="FT53" i="1"/>
  <c r="FT51" i="1"/>
  <c r="FT50" i="1"/>
  <c r="FR49" i="1"/>
  <c r="FO49" i="1"/>
  <c r="FR48" i="1"/>
  <c r="FQ48" i="1"/>
  <c r="FP48" i="1"/>
  <c r="FO48" i="1"/>
  <c r="FR47" i="1"/>
  <c r="FQ47" i="1"/>
  <c r="FP47" i="1"/>
  <c r="FO47" i="1"/>
  <c r="FR46" i="1"/>
  <c r="FP46" i="1"/>
  <c r="FO46" i="1"/>
  <c r="FR45" i="1"/>
  <c r="FQ45" i="1"/>
  <c r="FP45" i="1"/>
  <c r="FO45" i="1"/>
  <c r="FR44" i="1"/>
  <c r="FQ44" i="1"/>
  <c r="FP44" i="1"/>
  <c r="FO44" i="1"/>
  <c r="FN44" i="1"/>
  <c r="FR34" i="1"/>
  <c r="FQ34" i="1"/>
  <c r="FP34" i="1"/>
  <c r="FO34" i="1"/>
  <c r="FR33" i="1"/>
  <c r="FQ33" i="1"/>
  <c r="FP33" i="1"/>
  <c r="FO33" i="1"/>
  <c r="FR32" i="1"/>
  <c r="FQ32" i="1"/>
  <c r="FP32" i="1"/>
  <c r="FO32" i="1"/>
  <c r="FN32" i="1"/>
  <c r="FQ30" i="1"/>
  <c r="FR28" i="1"/>
  <c r="FP28" i="1"/>
  <c r="FO28" i="1"/>
  <c r="FR27" i="1"/>
  <c r="FQ27" i="1"/>
  <c r="FP27" i="1"/>
  <c r="FO27" i="1"/>
  <c r="FR26" i="1"/>
  <c r="FQ26" i="1"/>
  <c r="FP26" i="1"/>
  <c r="FO26" i="1"/>
  <c r="FR25" i="1"/>
  <c r="FQ25" i="1"/>
  <c r="FP25" i="1"/>
  <c r="FO25" i="1"/>
  <c r="FR24" i="1"/>
  <c r="FQ24" i="1"/>
  <c r="FP24" i="1"/>
  <c r="FO24" i="1"/>
  <c r="FR23" i="1"/>
  <c r="FQ23" i="1"/>
  <c r="FO23" i="1"/>
  <c r="FR53" i="1" l="1"/>
  <c r="FR58" i="1"/>
  <c r="FR57" i="1"/>
  <c r="FR56" i="1"/>
  <c r="FR54" i="1"/>
  <c r="FR52" i="1"/>
  <c r="FR60" i="1" l="1"/>
  <c r="FR61" i="1"/>
  <c r="FR62" i="1" l="1"/>
  <c r="G6" i="1" s="1"/>
  <c r="B45" i="1"/>
  <c r="FM45" i="1" s="1"/>
  <c r="B24" i="1"/>
  <c r="FM24" i="1" s="1"/>
  <c r="FP30" i="1" l="1"/>
  <c r="FM26" i="1"/>
  <c r="FM25" i="1" l="1"/>
  <c r="FP23" i="1"/>
  <c r="GU13" i="1" l="1"/>
  <c r="HF13" i="1"/>
  <c r="HE13" i="1"/>
  <c r="HD13" i="1"/>
  <c r="HC13" i="1"/>
  <c r="HB13" i="1"/>
  <c r="HA13" i="1"/>
  <c r="GZ13" i="1"/>
  <c r="GY13" i="1"/>
  <c r="GX13" i="1"/>
  <c r="GW13" i="1"/>
  <c r="GV13" i="1"/>
  <c r="S19" i="1" l="1"/>
  <c r="S18" i="1"/>
  <c r="S17" i="1"/>
  <c r="S16" i="1"/>
  <c r="S15" i="1"/>
  <c r="S13" i="1"/>
  <c r="GS2" i="1" l="1"/>
  <c r="FJ20" i="1"/>
  <c r="FJ19" i="1"/>
  <c r="FJ18" i="1"/>
  <c r="FJ17" i="1"/>
  <c r="FJ16" i="1"/>
  <c r="FJ15" i="1"/>
  <c r="FJ13" i="1"/>
  <c r="FQ46" i="1" l="1"/>
  <c r="FQ49" i="1" l="1"/>
  <c r="FJ14" i="1"/>
  <c r="FP49" i="1" l="1"/>
  <c r="FJ9" i="1"/>
  <c r="FJ12" i="1"/>
  <c r="FJ11" i="1"/>
  <c r="FJ10" i="1"/>
  <c r="FJ8" i="1"/>
  <c r="GT30" i="1"/>
  <c r="HF30" i="1"/>
  <c r="HE30" i="1"/>
  <c r="HD30" i="1"/>
  <c r="HC30" i="1"/>
  <c r="HB30" i="1"/>
  <c r="HA30" i="1"/>
  <c r="GZ30" i="1"/>
  <c r="GY30" i="1"/>
  <c r="GX30" i="1"/>
  <c r="GW30" i="1"/>
  <c r="GV30" i="1"/>
  <c r="GU30" i="1"/>
  <c r="HF11" i="1"/>
  <c r="HE11" i="1"/>
  <c r="HD11" i="1"/>
  <c r="HC11" i="1"/>
  <c r="HB11" i="1"/>
  <c r="HA11" i="1"/>
  <c r="GZ11" i="1"/>
  <c r="GY11" i="1"/>
  <c r="GX11" i="1"/>
  <c r="GW11" i="1"/>
  <c r="GV11" i="1"/>
  <c r="GU11" i="1"/>
  <c r="GT11" i="1"/>
  <c r="HD29" i="1"/>
  <c r="HC29" i="1"/>
  <c r="HB29" i="1"/>
  <c r="AD60" i="1"/>
  <c r="GZ29" i="1" s="1"/>
  <c r="AD59" i="1"/>
  <c r="AA60" i="1"/>
  <c r="HF29" i="1" s="1"/>
  <c r="AA59" i="1"/>
  <c r="AC60" i="1"/>
  <c r="HA29" i="1" s="1"/>
  <c r="AC59" i="1"/>
  <c r="GT27" i="1"/>
  <c r="HF27" i="1"/>
  <c r="HE27" i="1"/>
  <c r="HD27" i="1"/>
  <c r="HC27" i="1"/>
  <c r="HB27" i="1"/>
  <c r="HA27" i="1"/>
  <c r="GZ27" i="1"/>
  <c r="GY27" i="1"/>
  <c r="GX27" i="1"/>
  <c r="GW27" i="1"/>
  <c r="GV27" i="1"/>
  <c r="GU27" i="1"/>
  <c r="GT25" i="1"/>
  <c r="HF25" i="1"/>
  <c r="HE25" i="1"/>
  <c r="HD25" i="1"/>
  <c r="HC25" i="1"/>
  <c r="HB25" i="1"/>
  <c r="HA25" i="1"/>
  <c r="GZ25" i="1"/>
  <c r="GY25" i="1"/>
  <c r="GX25" i="1"/>
  <c r="GW25" i="1"/>
  <c r="GV25" i="1"/>
  <c r="GU25" i="1"/>
  <c r="GT24" i="1"/>
  <c r="HF24" i="1"/>
  <c r="HE24" i="1"/>
  <c r="HD24" i="1"/>
  <c r="HC24" i="1"/>
  <c r="HB24" i="1"/>
  <c r="HA24" i="1"/>
  <c r="GZ24" i="1"/>
  <c r="GY24" i="1"/>
  <c r="GX24" i="1"/>
  <c r="GW24" i="1"/>
  <c r="GV24" i="1"/>
  <c r="GU24" i="1"/>
  <c r="GT22" i="1"/>
  <c r="HF22" i="1"/>
  <c r="HE22" i="1"/>
  <c r="HD22" i="1"/>
  <c r="HC22" i="1"/>
  <c r="HB22" i="1"/>
  <c r="HA22" i="1"/>
  <c r="GZ22" i="1"/>
  <c r="GY22" i="1"/>
  <c r="GX22" i="1"/>
  <c r="GW22" i="1"/>
  <c r="GV22" i="1"/>
  <c r="GU22" i="1"/>
  <c r="HF21" i="1"/>
  <c r="HE21" i="1"/>
  <c r="HD21" i="1"/>
  <c r="HC21" i="1"/>
  <c r="HB21" i="1"/>
  <c r="HA21" i="1"/>
  <c r="GZ21" i="1"/>
  <c r="GT21" i="1"/>
  <c r="GY21" i="1"/>
  <c r="GX21" i="1"/>
  <c r="GW21" i="1"/>
  <c r="GV21" i="1"/>
  <c r="GU21" i="1"/>
  <c r="HF16" i="1"/>
  <c r="HE16" i="1"/>
  <c r="HD16" i="1"/>
  <c r="HC16" i="1"/>
  <c r="HB16" i="1"/>
  <c r="HA16" i="1"/>
  <c r="GZ16" i="1"/>
  <c r="GY16" i="1"/>
  <c r="GX16" i="1"/>
  <c r="GW16" i="1"/>
  <c r="GV16" i="1"/>
  <c r="GU16" i="1"/>
  <c r="GT16" i="1"/>
  <c r="HF20" i="1"/>
  <c r="HE20" i="1"/>
  <c r="HD20" i="1"/>
  <c r="HC20" i="1"/>
  <c r="HB20" i="1"/>
  <c r="HA20" i="1"/>
  <c r="GZ20" i="1"/>
  <c r="GY20" i="1"/>
  <c r="GX20" i="1"/>
  <c r="GW20" i="1"/>
  <c r="GV20" i="1"/>
  <c r="GU20" i="1"/>
  <c r="GT20" i="1"/>
  <c r="HF19" i="1"/>
  <c r="HE19" i="1"/>
  <c r="HD19" i="1"/>
  <c r="HC19" i="1"/>
  <c r="HB19" i="1"/>
  <c r="HA19" i="1"/>
  <c r="GZ19" i="1"/>
  <c r="GY19" i="1"/>
  <c r="GW19" i="1"/>
  <c r="GV19" i="1"/>
  <c r="GU19" i="1"/>
  <c r="GT19" i="1"/>
  <c r="GX19" i="1"/>
  <c r="HF17" i="1"/>
  <c r="HE17" i="1"/>
  <c r="HD17" i="1"/>
  <c r="HC17" i="1"/>
  <c r="HB17" i="1"/>
  <c r="HA17" i="1"/>
  <c r="GZ17" i="1"/>
  <c r="GY17" i="1"/>
  <c r="GX17" i="1"/>
  <c r="GW17" i="1"/>
  <c r="GV17" i="1"/>
  <c r="GU17" i="1"/>
  <c r="GT17" i="1"/>
  <c r="HF12" i="1"/>
  <c r="HE12" i="1"/>
  <c r="HD12" i="1"/>
  <c r="HC12" i="1"/>
  <c r="HB12" i="1"/>
  <c r="HA12" i="1"/>
  <c r="GY12" i="1"/>
  <c r="GX12" i="1"/>
  <c r="GW12" i="1"/>
  <c r="GU12" i="1"/>
  <c r="HF5" i="1"/>
  <c r="HE5" i="1"/>
  <c r="HD5" i="1"/>
  <c r="HC5" i="1"/>
  <c r="HB5" i="1"/>
  <c r="HA5" i="1"/>
  <c r="GZ5" i="1"/>
  <c r="GY5" i="1"/>
  <c r="GY3" i="1" s="1"/>
  <c r="HF8" i="1"/>
  <c r="HE8" i="1"/>
  <c r="HD8" i="1"/>
  <c r="HC8" i="1"/>
  <c r="HB8" i="1"/>
  <c r="HA8" i="1"/>
  <c r="GZ8" i="1"/>
  <c r="GY8" i="1"/>
  <c r="GX8" i="1"/>
  <c r="GW8" i="1"/>
  <c r="GV8" i="1"/>
  <c r="GU8" i="1"/>
  <c r="GT8" i="1"/>
  <c r="HF7" i="1"/>
  <c r="HD7" i="1"/>
  <c r="HC7" i="1"/>
  <c r="HB7" i="1"/>
  <c r="HA7" i="1"/>
  <c r="GZ7" i="1"/>
  <c r="GY7" i="1"/>
  <c r="GX7" i="1"/>
  <c r="GW7" i="1"/>
  <c r="GV7" i="1"/>
  <c r="GU7" i="1"/>
  <c r="GT7" i="1"/>
  <c r="HF14" i="1"/>
  <c r="HE14" i="1"/>
  <c r="HD14" i="1"/>
  <c r="HC14" i="1"/>
  <c r="HB14" i="1"/>
  <c r="HA14" i="1"/>
  <c r="GZ14" i="1"/>
  <c r="GY14" i="1"/>
  <c r="GX14" i="1"/>
  <c r="GW14" i="1"/>
  <c r="GV14" i="1"/>
  <c r="GU14" i="1"/>
  <c r="GT14" i="1"/>
  <c r="GU28" i="1" l="1"/>
  <c r="HE29" i="1"/>
  <c r="HA28" i="1"/>
  <c r="HE28" i="1"/>
  <c r="HB28" i="1"/>
  <c r="HF28" i="1"/>
  <c r="GZ28" i="1"/>
  <c r="HC28" i="1"/>
  <c r="HD28" i="1"/>
  <c r="GY28" i="1"/>
  <c r="GU29" i="1"/>
  <c r="GV29" i="1"/>
  <c r="GY29" i="1"/>
  <c r="GX29" i="1"/>
  <c r="HF3" i="1"/>
  <c r="HF36" i="1"/>
  <c r="HE3" i="1"/>
  <c r="HE36" i="1"/>
  <c r="HD3" i="1"/>
  <c r="HD36" i="1"/>
  <c r="HC3" i="1"/>
  <c r="HC36" i="1"/>
  <c r="HB3" i="1"/>
  <c r="HB36" i="1"/>
  <c r="HA3" i="1"/>
  <c r="HA36" i="1"/>
  <c r="GZ3" i="1"/>
  <c r="GY36" i="1"/>
  <c r="GZ36" i="1"/>
  <c r="GT29" i="1"/>
  <c r="FJ22" i="1"/>
  <c r="GV28" i="1"/>
  <c r="GX28" i="1"/>
  <c r="GW28" i="1"/>
  <c r="GW29" i="1"/>
  <c r="GT28" i="1"/>
  <c r="FP21" i="1"/>
  <c r="GB20" i="1" l="1"/>
  <c r="GB19" i="1"/>
  <c r="GB18" i="1"/>
  <c r="GB17" i="1"/>
  <c r="GB16" i="1"/>
  <c r="GB15" i="1"/>
  <c r="GB14" i="1"/>
  <c r="GB13" i="1"/>
  <c r="FW19" i="1"/>
  <c r="FW17" i="1"/>
  <c r="FW18" i="1"/>
  <c r="FW16" i="1"/>
  <c r="FW13" i="1"/>
  <c r="FW15" i="1"/>
  <c r="GB11" i="1" l="1"/>
  <c r="GB12" i="1"/>
  <c r="GB10" i="1"/>
  <c r="GB9" i="1"/>
  <c r="GB8" i="1"/>
  <c r="GX5" i="1" l="1"/>
  <c r="GW5" i="1"/>
  <c r="GV5" i="1"/>
  <c r="GU5" i="1"/>
  <c r="GU3" i="1" s="1"/>
  <c r="GT5" i="1"/>
  <c r="GT3" i="1" s="1"/>
  <c r="GX3" i="1" l="1"/>
  <c r="GX36" i="1"/>
  <c r="GW3" i="1"/>
  <c r="GW36" i="1"/>
  <c r="GU36" i="1"/>
  <c r="GT36" i="1"/>
  <c r="GV36" i="1"/>
  <c r="GV3" i="1"/>
  <c r="GT13" i="1"/>
  <c r="GR5" i="1" l="1"/>
  <c r="FN22" i="1"/>
  <c r="DC4" i="1" l="1"/>
  <c r="DC5" i="1"/>
  <c r="DC6" i="1"/>
  <c r="DC3" i="1"/>
  <c r="FQ7" i="1"/>
  <c r="FO7" i="1"/>
  <c r="FM7" i="1"/>
  <c r="FN4" i="1"/>
  <c r="FN3" i="1"/>
  <c r="FN2" i="1"/>
  <c r="FM4" i="1"/>
  <c r="FM3" i="1"/>
  <c r="FM2" i="1"/>
  <c r="FO22" i="1"/>
  <c r="FQ22" i="1"/>
  <c r="FR22" i="1"/>
  <c r="FR20" i="1"/>
  <c r="FP20" i="1"/>
  <c r="FM20" i="1"/>
  <c r="FR19" i="1"/>
  <c r="FP19" i="1"/>
  <c r="FM19" i="1"/>
  <c r="FR18" i="1"/>
  <c r="FP18" i="1"/>
  <c r="FM18" i="1"/>
  <c r="FR17" i="1"/>
  <c r="FP17" i="1"/>
  <c r="FM17" i="1"/>
  <c r="FR16" i="1"/>
  <c r="FP16" i="1"/>
  <c r="FM16" i="1"/>
  <c r="FR15" i="1"/>
  <c r="FP15" i="1"/>
  <c r="FM15" i="1"/>
  <c r="FR14" i="1"/>
  <c r="FP14" i="1"/>
  <c r="FM14" i="1"/>
  <c r="FR13" i="1"/>
  <c r="FP13" i="1"/>
  <c r="FM13" i="1"/>
  <c r="FR12" i="1"/>
  <c r="FP12" i="1"/>
  <c r="FM12" i="1"/>
  <c r="FR11" i="1"/>
  <c r="FP11" i="1"/>
  <c r="FM11" i="1"/>
  <c r="FR10" i="1"/>
  <c r="FP10" i="1"/>
  <c r="FM10" i="1"/>
  <c r="FR9" i="1"/>
  <c r="FP9" i="1"/>
  <c r="FM9" i="1"/>
  <c r="FR8" i="1"/>
  <c r="FP8" i="1"/>
  <c r="FM8" i="1"/>
  <c r="FV6" i="1" l="1"/>
  <c r="E7" i="1" s="1"/>
  <c r="S20" i="1"/>
  <c r="B27" i="1"/>
  <c r="FM27" i="1" s="1"/>
  <c r="FU6" i="1" l="1"/>
  <c r="C7" i="1" s="1"/>
  <c r="FP7" i="1"/>
  <c r="FM23" i="1"/>
  <c r="FN7" i="1" l="1"/>
  <c r="S14" i="1"/>
  <c r="S12" i="1"/>
  <c r="S9" i="1"/>
  <c r="S10" i="1"/>
  <c r="S11" i="1"/>
  <c r="S8" i="1"/>
  <c r="FQ20" i="1" l="1"/>
  <c r="FQ19" i="1"/>
  <c r="FQ18" i="1"/>
  <c r="FQ17" i="1"/>
  <c r="FQ16" i="1"/>
  <c r="FQ15" i="1"/>
  <c r="FQ14" i="1"/>
  <c r="FQ13" i="1"/>
  <c r="FQ12" i="1"/>
  <c r="FQ11" i="1"/>
  <c r="FQ10" i="1"/>
  <c r="FQ9" i="1"/>
  <c r="FQ8" i="1"/>
  <c r="GT12" i="1" l="1"/>
  <c r="DW8" i="1"/>
  <c r="EB8" i="1" s="1"/>
  <c r="DW7" i="1"/>
  <c r="DW13" i="1"/>
  <c r="DW9" i="1"/>
  <c r="EB9" i="1" s="1"/>
  <c r="DW6" i="1"/>
  <c r="EB6" i="1" s="1"/>
  <c r="DW5" i="1"/>
  <c r="EB5" i="1" s="1"/>
  <c r="DW4" i="1"/>
  <c r="DW12" i="1"/>
  <c r="EB12" i="1" s="1"/>
  <c r="DW11" i="1"/>
  <c r="EB11" i="1" s="1"/>
  <c r="DW10" i="1"/>
  <c r="EB10" i="1" s="1"/>
  <c r="FW20" i="1"/>
  <c r="FW14" i="1"/>
  <c r="FW11" i="1"/>
  <c r="FW9" i="1"/>
  <c r="FW10" i="1"/>
  <c r="FW12" i="1"/>
  <c r="FW8" i="1"/>
  <c r="H12" i="1" l="1"/>
  <c r="GX6" i="1" s="1"/>
  <c r="EB7" i="1"/>
  <c r="EB17" i="1" s="1"/>
  <c r="H20" i="1"/>
  <c r="HF6" i="1" s="1"/>
  <c r="H16" i="1"/>
  <c r="HB6" i="1" s="1"/>
  <c r="H19" i="1"/>
  <c r="HE6" i="1" s="1"/>
  <c r="H15" i="1"/>
  <c r="HA6" i="1" s="1"/>
  <c r="H18" i="1"/>
  <c r="HD6" i="1" s="1"/>
  <c r="H14" i="1"/>
  <c r="GZ6" i="1" s="1"/>
  <c r="H17" i="1"/>
  <c r="HC6" i="1" s="1"/>
  <c r="H13" i="1"/>
  <c r="GY6" i="1" s="1"/>
  <c r="EB13" i="1"/>
  <c r="H11" i="1"/>
  <c r="GW6" i="1" s="1"/>
  <c r="H10" i="1"/>
  <c r="GV6" i="1" s="1"/>
  <c r="H8" i="1"/>
  <c r="GT6" i="1" s="1"/>
  <c r="H9" i="1"/>
  <c r="GU6" i="1" s="1"/>
  <c r="EB4" i="1"/>
  <c r="EB16" i="1"/>
  <c r="FP22" i="1"/>
  <c r="GZ12" i="1"/>
  <c r="GV12" i="1"/>
  <c r="FW6" i="1"/>
  <c r="EB15" i="1" l="1"/>
  <c r="EC19" i="1"/>
  <c r="F28" i="1"/>
  <c r="FQ28" i="1" s="1"/>
  <c r="G7" i="1"/>
  <c r="FX6" i="1"/>
  <c r="FO9" i="1"/>
  <c r="FO8" i="1"/>
  <c r="FO11" i="1"/>
  <c r="FO13" i="1"/>
  <c r="FO10" i="1"/>
  <c r="FO14" i="1"/>
  <c r="FO18" i="1"/>
  <c r="FO15" i="1"/>
  <c r="FO19" i="1"/>
  <c r="FO12" i="1"/>
  <c r="FO16" i="1"/>
  <c r="FO20" i="1"/>
  <c r="FO17" i="1"/>
  <c r="CD79" i="1"/>
  <c r="CD77" i="1"/>
  <c r="CD75" i="1"/>
  <c r="CD74" i="1"/>
  <c r="CD73" i="1"/>
  <c r="CD71" i="1"/>
  <c r="CD70" i="1"/>
  <c r="CD67" i="1"/>
  <c r="CD66" i="1"/>
  <c r="CD65" i="1"/>
  <c r="CD64" i="1"/>
  <c r="CD63" i="1"/>
  <c r="CD62" i="1"/>
  <c r="CD61" i="1"/>
  <c r="CD60" i="1"/>
  <c r="CD59" i="1"/>
  <c r="CD58" i="1"/>
  <c r="CD57" i="1"/>
  <c r="CD56" i="1"/>
  <c r="CD54" i="1"/>
  <c r="CD53" i="1"/>
  <c r="CD52" i="1"/>
  <c r="CD51" i="1"/>
  <c r="CD50" i="1"/>
  <c r="CD49" i="1"/>
  <c r="CD48" i="1"/>
  <c r="CD47" i="1"/>
  <c r="CD46" i="1"/>
  <c r="CD45" i="1"/>
  <c r="CD44" i="1"/>
  <c r="CD35" i="1"/>
  <c r="CD34" i="1"/>
  <c r="CD33" i="1"/>
  <c r="CD32" i="1"/>
  <c r="CD31" i="1"/>
  <c r="CD30" i="1"/>
  <c r="CD29" i="1"/>
  <c r="CD28" i="1"/>
  <c r="CD27" i="1"/>
  <c r="CD26" i="1"/>
  <c r="CD23" i="1"/>
  <c r="CD22" i="1"/>
  <c r="CD21" i="1"/>
  <c r="CD20" i="1"/>
  <c r="CD19" i="1"/>
  <c r="CD18" i="1"/>
  <c r="CD17" i="1"/>
  <c r="CD16" i="1"/>
  <c r="CD15" i="1"/>
  <c r="CD14" i="1"/>
  <c r="CD13" i="1"/>
  <c r="CD12" i="1"/>
  <c r="CD11" i="1"/>
  <c r="CD9" i="1"/>
  <c r="CD8" i="1"/>
  <c r="CD7" i="1"/>
  <c r="CD6" i="1"/>
  <c r="CD5" i="1"/>
  <c r="CD4" i="1"/>
  <c r="CD3" i="1"/>
  <c r="BZ79" i="1"/>
  <c r="BZ77" i="1"/>
  <c r="BZ75" i="1"/>
  <c r="BZ74" i="1"/>
  <c r="BZ73" i="1"/>
  <c r="BZ71" i="1"/>
  <c r="BZ70" i="1"/>
  <c r="BZ67" i="1"/>
  <c r="BZ66" i="1"/>
  <c r="BZ65" i="1"/>
  <c r="BZ64" i="1"/>
  <c r="BZ63" i="1"/>
  <c r="BZ62" i="1"/>
  <c r="BZ61" i="1"/>
  <c r="BZ60" i="1"/>
  <c r="BZ59" i="1"/>
  <c r="BZ58" i="1"/>
  <c r="BZ57" i="1"/>
  <c r="BZ56" i="1"/>
  <c r="BZ54" i="1"/>
  <c r="BZ53" i="1"/>
  <c r="BZ52" i="1"/>
  <c r="BZ51" i="1"/>
  <c r="BZ50" i="1"/>
  <c r="BZ49" i="1"/>
  <c r="BZ48" i="1"/>
  <c r="BZ47" i="1"/>
  <c r="BZ46" i="1"/>
  <c r="BZ45" i="1"/>
  <c r="BZ44" i="1"/>
  <c r="BZ35" i="1"/>
  <c r="BZ34" i="1"/>
  <c r="BZ33" i="1"/>
  <c r="BZ32" i="1"/>
  <c r="BZ31" i="1"/>
  <c r="BZ30" i="1"/>
  <c r="BZ29" i="1"/>
  <c r="BZ28" i="1"/>
  <c r="BZ27" i="1"/>
  <c r="BZ26" i="1"/>
  <c r="BZ23" i="1"/>
  <c r="BZ22" i="1"/>
  <c r="BZ21" i="1"/>
  <c r="BZ20" i="1"/>
  <c r="BZ19" i="1"/>
  <c r="BZ18" i="1"/>
  <c r="BZ17" i="1"/>
  <c r="BZ16" i="1"/>
  <c r="BZ15" i="1"/>
  <c r="BZ14" i="1"/>
  <c r="BZ13" i="1"/>
  <c r="BZ12" i="1"/>
  <c r="BZ11" i="1"/>
  <c r="BZ9" i="1"/>
  <c r="BZ8" i="1"/>
  <c r="BZ7" i="1"/>
  <c r="BZ6" i="1"/>
  <c r="BZ5" i="1"/>
  <c r="BZ4" i="1"/>
  <c r="BZ3" i="1"/>
  <c r="BV79" i="1"/>
  <c r="BV77" i="1"/>
  <c r="BV75" i="1"/>
  <c r="BV74" i="1"/>
  <c r="BV73" i="1"/>
  <c r="BV71" i="1"/>
  <c r="BV70" i="1"/>
  <c r="BV67" i="1"/>
  <c r="BV66" i="1"/>
  <c r="BV65" i="1"/>
  <c r="BV64" i="1"/>
  <c r="BV63" i="1"/>
  <c r="BV62" i="1"/>
  <c r="BV61" i="1"/>
  <c r="BV60" i="1"/>
  <c r="BV59" i="1"/>
  <c r="BV58" i="1"/>
  <c r="BV57" i="1"/>
  <c r="BV56" i="1"/>
  <c r="BV54" i="1"/>
  <c r="BV53" i="1"/>
  <c r="BV52" i="1"/>
  <c r="BV51" i="1"/>
  <c r="BV50" i="1"/>
  <c r="BV49" i="1"/>
  <c r="BV48" i="1"/>
  <c r="BV47" i="1"/>
  <c r="BV46" i="1"/>
  <c r="BV45" i="1"/>
  <c r="BV44" i="1"/>
  <c r="BV35" i="1"/>
  <c r="BV34" i="1"/>
  <c r="BV33" i="1"/>
  <c r="BV32" i="1"/>
  <c r="BV31" i="1"/>
  <c r="BV30" i="1"/>
  <c r="BV29" i="1"/>
  <c r="BV28" i="1"/>
  <c r="BV27" i="1"/>
  <c r="BV26" i="1"/>
  <c r="BV23" i="1"/>
  <c r="BV22" i="1"/>
  <c r="BV21" i="1"/>
  <c r="BV20" i="1"/>
  <c r="BV19" i="1"/>
  <c r="BV18" i="1"/>
  <c r="BV17" i="1"/>
  <c r="BV16" i="1"/>
  <c r="BV15" i="1"/>
  <c r="BV14" i="1"/>
  <c r="BV13" i="1"/>
  <c r="BV12" i="1"/>
  <c r="BV11" i="1"/>
  <c r="BV9" i="1"/>
  <c r="BV8" i="1"/>
  <c r="BV7" i="1"/>
  <c r="BV6" i="1"/>
  <c r="BV5" i="1"/>
  <c r="BV4" i="1"/>
  <c r="BV3" i="1"/>
  <c r="BR22" i="1"/>
  <c r="BR21" i="1"/>
  <c r="BR20" i="1"/>
  <c r="BR19" i="1"/>
  <c r="BR18" i="1"/>
  <c r="BR17" i="1"/>
  <c r="BR16" i="1"/>
  <c r="BR15" i="1"/>
  <c r="BR14" i="1"/>
  <c r="BR13" i="1"/>
  <c r="BR12" i="1"/>
  <c r="BR11" i="1"/>
  <c r="BR10" i="1"/>
  <c r="BR9" i="1"/>
  <c r="BR8" i="1"/>
  <c r="BR7" i="1"/>
  <c r="BR6" i="1"/>
  <c r="BR5" i="1"/>
  <c r="BR4" i="1"/>
  <c r="BR3" i="1"/>
  <c r="BR80" i="1"/>
  <c r="BR78" i="1"/>
  <c r="BR76" i="1"/>
  <c r="BR75" i="1"/>
  <c r="BR74" i="1"/>
  <c r="BR73" i="1"/>
  <c r="BR72" i="1"/>
  <c r="BR71" i="1"/>
  <c r="BR70" i="1"/>
  <c r="BR65" i="1"/>
  <c r="BR64" i="1"/>
  <c r="BR63" i="1"/>
  <c r="BR62" i="1"/>
  <c r="BR61" i="1"/>
  <c r="BR60" i="1"/>
  <c r="BR59" i="1"/>
  <c r="BR58" i="1"/>
  <c r="BR57" i="1"/>
  <c r="BR56" i="1"/>
  <c r="BR54" i="1"/>
  <c r="BR53" i="1"/>
  <c r="BR52" i="1"/>
  <c r="BR51" i="1"/>
  <c r="BR50" i="1"/>
  <c r="BR49" i="1"/>
  <c r="BR48" i="1"/>
  <c r="BR47" i="1"/>
  <c r="BR46" i="1"/>
  <c r="BR45" i="1"/>
  <c r="BR44" i="1"/>
  <c r="BR43" i="1"/>
  <c r="BR42" i="1"/>
  <c r="BR41" i="1"/>
  <c r="BR40" i="1"/>
  <c r="BR39" i="1"/>
  <c r="BR35" i="1"/>
  <c r="BR34" i="1"/>
  <c r="BR33" i="1"/>
  <c r="BR32" i="1"/>
  <c r="BR31" i="1"/>
  <c r="BR30" i="1"/>
  <c r="BR29" i="1"/>
  <c r="BR28" i="1"/>
  <c r="BR27" i="1"/>
  <c r="BR26" i="1"/>
  <c r="H28" i="1"/>
  <c r="X25" i="1" l="1"/>
  <c r="FR7" i="1"/>
  <c r="X23" i="1"/>
  <c r="X26" i="1" l="1"/>
  <c r="GT1" i="1" s="1"/>
  <c r="C6" i="1"/>
  <c r="HE9" i="1" l="1"/>
  <c r="HF9" i="1"/>
  <c r="HC9" i="1"/>
  <c r="HD9" i="1"/>
  <c r="GZ9" i="1"/>
  <c r="HB9" i="1"/>
  <c r="HA9" i="1"/>
  <c r="GX9" i="1"/>
  <c r="GY9" i="1"/>
  <c r="GV9" i="1"/>
  <c r="GW9" i="1"/>
  <c r="GT9" i="1"/>
  <c r="GU9" i="1"/>
</calcChain>
</file>

<file path=xl/sharedStrings.xml><?xml version="1.0" encoding="utf-8"?>
<sst xmlns="http://schemas.openxmlformats.org/spreadsheetml/2006/main" count="6412" uniqueCount="1200">
  <si>
    <t>Start HERE   Select a shell, a finish and a badge.  Then spec out your Ludwig kit.</t>
  </si>
  <si>
    <t>Retail</t>
  </si>
  <si>
    <t>Discount Calc</t>
  </si>
  <si>
    <t>BTS</t>
  </si>
  <si>
    <t>Finishes</t>
  </si>
  <si>
    <t>from cpt</t>
  </si>
  <si>
    <t>Option Hoop</t>
  </si>
  <si>
    <t>Old Finish price index, based on Shell and finType.  Replaced by columns AT:BB</t>
  </si>
  <si>
    <t>Finish price based on v_size, v_shell and v_finType</t>
  </si>
  <si>
    <t>Need L8.W, LC.W, LM.W, LO.W</t>
  </si>
  <si>
    <t>Sizes</t>
  </si>
  <si>
    <t>Classic Maple</t>
  </si>
  <si>
    <t>Legacy Maple</t>
  </si>
  <si>
    <t>Legacy Mahogany</t>
  </si>
  <si>
    <t>Legacy Exotic</t>
  </si>
  <si>
    <t>Classic Oak</t>
  </si>
  <si>
    <t>Prices</t>
  </si>
  <si>
    <t>Classic Maple Price</t>
  </si>
  <si>
    <t>Legacy Maple Price</t>
  </si>
  <si>
    <t>Legacy Mahogany Price</t>
  </si>
  <si>
    <t>Legacy Exotic Price</t>
  </si>
  <si>
    <t>Classic Oak Price</t>
  </si>
  <si>
    <t>Option Pricing</t>
  </si>
  <si>
    <t>Classic Maple Codif</t>
  </si>
  <si>
    <t>Legacy Maple Codif</t>
  </si>
  <si>
    <t>Legacy Mahogany Codif</t>
  </si>
  <si>
    <t>Legacy Exotic Codif</t>
  </si>
  <si>
    <t>Classic Oak Codif</t>
  </si>
  <si>
    <t>Lugs</t>
  </si>
  <si>
    <t>Values</t>
  </si>
  <si>
    <t xml:space="preserve">Size </t>
  </si>
  <si>
    <t>Size group</t>
  </si>
  <si>
    <t>Selected</t>
  </si>
  <si>
    <t>Lugs for</t>
  </si>
  <si>
    <t>Mounts</t>
  </si>
  <si>
    <t>Shell Mount Cymbal Holder</t>
  </si>
  <si>
    <t>BD Hoop options</t>
  </si>
  <si>
    <t>Edges</t>
  </si>
  <si>
    <t>Spurs</t>
  </si>
  <si>
    <t>Safeties, Constraints, Warnings</t>
  </si>
  <si>
    <t>Dbl/Sngl</t>
  </si>
  <si>
    <t>Snare Bed</t>
  </si>
  <si>
    <t>Shell</t>
  </si>
  <si>
    <t>Dealer</t>
  </si>
  <si>
    <t>Shell / Finish / Badge Error</t>
  </si>
  <si>
    <t>Four  versions for release</t>
  </si>
  <si>
    <t>Range</t>
  </si>
  <si>
    <t>All Finishes</t>
  </si>
  <si>
    <t>finType</t>
  </si>
  <si>
    <t>Default Bass Hoop</t>
  </si>
  <si>
    <t>Range Name</t>
  </si>
  <si>
    <t>Std Inlay</t>
  </si>
  <si>
    <t>Bass</t>
  </si>
  <si>
    <t>Floor</t>
  </si>
  <si>
    <t>Tom</t>
  </si>
  <si>
    <t>Snare</t>
  </si>
  <si>
    <t>IntFin Options</t>
  </si>
  <si>
    <t>v_shell . v_finType</t>
  </si>
  <si>
    <t>Always 0</t>
  </si>
  <si>
    <t>All Sizes (useless)</t>
  </si>
  <si>
    <t>Matcher</t>
  </si>
  <si>
    <t>Classic Maple Bass Size</t>
  </si>
  <si>
    <t>Legacy Maple Bass Size</t>
  </si>
  <si>
    <t>Legacy Mahogany Bass Size</t>
  </si>
  <si>
    <t>Legacy Exotic Bass Size</t>
  </si>
  <si>
    <t>Classic Oak Bass Size</t>
  </si>
  <si>
    <t>All Sizes</t>
  </si>
  <si>
    <t>CPT_code</t>
  </si>
  <si>
    <t>L8</t>
  </si>
  <si>
    <t>LL</t>
  </si>
  <si>
    <t>LM</t>
  </si>
  <si>
    <t>LX</t>
  </si>
  <si>
    <t>LO</t>
  </si>
  <si>
    <t>Finishes (moved to columns AT:BB)</t>
  </si>
  <si>
    <t>Type</t>
  </si>
  <si>
    <t>Size v Type</t>
  </si>
  <si>
    <t>Size</t>
  </si>
  <si>
    <t>Named Range</t>
  </si>
  <si>
    <t>ML</t>
  </si>
  <si>
    <t>LC</t>
  </si>
  <si>
    <t>LI</t>
  </si>
  <si>
    <t>LT</t>
  </si>
  <si>
    <t>SI</t>
  </si>
  <si>
    <t>ST</t>
  </si>
  <si>
    <t>TB</t>
  </si>
  <si>
    <t>for Spurs</t>
  </si>
  <si>
    <t>Price</t>
  </si>
  <si>
    <t>Codif</t>
  </si>
  <si>
    <t>Bass Mounts (Depend on Lugs)</t>
  </si>
  <si>
    <t>Rod Size</t>
  </si>
  <si>
    <t>Exists</t>
  </si>
  <si>
    <t>Shell Mount</t>
  </si>
  <si>
    <t>Top Level</t>
  </si>
  <si>
    <t>Shark Bite Snare Bed only available on 5H_14x8S size.</t>
  </si>
  <si>
    <t>Drum 3</t>
  </si>
  <si>
    <t>Drum 4</t>
  </si>
  <si>
    <t>Drum 5</t>
  </si>
  <si>
    <t>Drum 6</t>
  </si>
  <si>
    <t>Drum 7</t>
  </si>
  <si>
    <t>Drum 8</t>
  </si>
  <si>
    <t>Drum 9</t>
  </si>
  <si>
    <t>Drum 10</t>
  </si>
  <si>
    <t>Drum 11</t>
  </si>
  <si>
    <t>Drum 12</t>
  </si>
  <si>
    <t>Drum 13</t>
  </si>
  <si>
    <t>Finish</t>
  </si>
  <si>
    <t>PO</t>
  </si>
  <si>
    <t>Type / Size / Hrdwr Error</t>
  </si>
  <si>
    <r>
      <rPr>
        <sz val="11"/>
        <color rgb="FF00B0F0"/>
        <rFont val="Calibri"/>
        <family val="2"/>
        <scheme val="minor"/>
      </rPr>
      <t>Outfitter</t>
    </r>
    <r>
      <rPr>
        <sz val="11"/>
        <color theme="1"/>
        <rFont val="Calibri"/>
        <family val="2"/>
        <scheme val="minor"/>
      </rPr>
      <t xml:space="preserve"> has Retail price</t>
    </r>
  </si>
  <si>
    <t>OutfitterE</t>
  </si>
  <si>
    <t>Unlocked for Export</t>
  </si>
  <si>
    <t>Classic_Maple</t>
  </si>
  <si>
    <t>AO Aged Onyx</t>
  </si>
  <si>
    <t>W</t>
  </si>
  <si>
    <t>Satin Sable w/Inlay</t>
  </si>
  <si>
    <t>WrapsST</t>
  </si>
  <si>
    <t>Classic Maple W</t>
  </si>
  <si>
    <t>IntFin_Choice</t>
  </si>
  <si>
    <t>v_size</t>
  </si>
  <si>
    <t>L8.S</t>
  </si>
  <si>
    <t>L8.V</t>
  </si>
  <si>
    <t>L8.IOV</t>
  </si>
  <si>
    <t>L8.W</t>
  </si>
  <si>
    <t>LL.W</t>
  </si>
  <si>
    <t>LM.S</t>
  </si>
  <si>
    <t>LM.W</t>
  </si>
  <si>
    <t>LX.S</t>
  </si>
  <si>
    <t>LX.V</t>
  </si>
  <si>
    <t>LX.IOV</t>
  </si>
  <si>
    <t>LO.W</t>
  </si>
  <si>
    <t>LO.S</t>
  </si>
  <si>
    <t>53 African Bubinga</t>
  </si>
  <si>
    <t>12x18 Bass Drum</t>
  </si>
  <si>
    <t>12_18B</t>
  </si>
  <si>
    <t>LB828</t>
  </si>
  <si>
    <t>LLB328</t>
  </si>
  <si>
    <t>LLB528</t>
  </si>
  <si>
    <t>LLB428</t>
  </si>
  <si>
    <t>LCB728</t>
  </si>
  <si>
    <t>Small</t>
  </si>
  <si>
    <t>Bass Mini Classic</t>
  </si>
  <si>
    <t>Split</t>
  </si>
  <si>
    <t>Less Mount and Holder</t>
  </si>
  <si>
    <t>XX</t>
  </si>
  <si>
    <t>Right Side</t>
  </si>
  <si>
    <t>Pricing is moved to CC:CD</t>
  </si>
  <si>
    <t>These are the named ranges for optional bass drum hoops.</t>
  </si>
  <si>
    <t xml:space="preserve">G, by definition, you can't use any list that has 'inlay' for a sprayed finish. </t>
  </si>
  <si>
    <t>Shell v Finish</t>
  </si>
  <si>
    <t>Badge</t>
  </si>
  <si>
    <t>Incomplete Configuration</t>
  </si>
  <si>
    <r>
      <rPr>
        <sz val="11"/>
        <color rgb="FF00B0F0"/>
        <rFont val="Calibri"/>
        <family val="2"/>
        <scheme val="minor"/>
      </rPr>
      <t>OutfitterM</t>
    </r>
    <r>
      <rPr>
        <sz val="11"/>
        <color theme="1"/>
        <rFont val="Calibri"/>
        <family val="2"/>
        <scheme val="minor"/>
      </rPr>
      <t xml:space="preserve"> has Retail and MAP</t>
    </r>
  </si>
  <si>
    <t>Legacy_Maple</t>
  </si>
  <si>
    <t>0G Black Cortex</t>
  </si>
  <si>
    <t>Matching Hoop</t>
  </si>
  <si>
    <t>Cortex</t>
  </si>
  <si>
    <t>Classic Maple S</t>
  </si>
  <si>
    <t>GN Black Cat</t>
  </si>
  <si>
    <t>AB Aqua Burst</t>
  </si>
  <si>
    <t>14x18 Bass Drum</t>
  </si>
  <si>
    <t>14_18B</t>
  </si>
  <si>
    <t>LB848</t>
  </si>
  <si>
    <t>LLB348</t>
  </si>
  <si>
    <t>LLB548</t>
  </si>
  <si>
    <t>LLB448</t>
  </si>
  <si>
    <t>LCB748</t>
  </si>
  <si>
    <t>12x20 Bass Drum</t>
  </si>
  <si>
    <t>Bass Large Classic</t>
  </si>
  <si>
    <t>WC</t>
  </si>
  <si>
    <t>Left Side</t>
  </si>
  <si>
    <t>Which named range to use is indexed from the list of finishes.</t>
  </si>
  <si>
    <t xml:space="preserve">By definition, you can’t use any list that has 'matching hoop' with a Wrapped finish. </t>
  </si>
  <si>
    <t>v_shell</t>
  </si>
  <si>
    <t>options</t>
  </si>
  <si>
    <t>Tom mounts depend on Lugs and size</t>
  </si>
  <si>
    <t>Item Number</t>
  </si>
  <si>
    <t xml:space="preserve">Interior Finish   </t>
  </si>
  <si>
    <t>Detail Error</t>
  </si>
  <si>
    <r>
      <rPr>
        <sz val="11"/>
        <color rgb="FF00B0F0"/>
        <rFont val="Calibri"/>
        <family val="2"/>
        <scheme val="minor"/>
      </rPr>
      <t>OutfitterNP</t>
    </r>
    <r>
      <rPr>
        <sz val="11"/>
        <color theme="1"/>
        <rFont val="Calibri"/>
        <family val="2"/>
        <scheme val="minor"/>
      </rPr>
      <t xml:space="preserve"> has no pricing. </t>
    </r>
  </si>
  <si>
    <t>0 if active row</t>
  </si>
  <si>
    <t>Legacy_Mahogany</t>
  </si>
  <si>
    <t>BG Black Galaxy</t>
  </si>
  <si>
    <t>Classic Maple V</t>
  </si>
  <si>
    <t>0R Black Sparkle</t>
  </si>
  <si>
    <t>50 Birdseye Maple</t>
  </si>
  <si>
    <t>16x18 Bass Drum</t>
  </si>
  <si>
    <t>16_18B</t>
  </si>
  <si>
    <t>LB868</t>
  </si>
  <si>
    <t>LLB368</t>
  </si>
  <si>
    <t>LLB568</t>
  </si>
  <si>
    <t>LLB468</t>
  </si>
  <si>
    <t>LCB768</t>
  </si>
  <si>
    <t>12x22 Bass Drum</t>
  </si>
  <si>
    <t>Bass Mach Lugs</t>
  </si>
  <si>
    <t>WL</t>
  </si>
  <si>
    <t>Sngl</t>
  </si>
  <si>
    <t>LS</t>
  </si>
  <si>
    <t>Left and Right</t>
  </si>
  <si>
    <t>For Gato Negro, I need a separate group because it's a sprayed finish with a specific dv accent.</t>
  </si>
  <si>
    <t>Edges_Classic_Maple</t>
  </si>
  <si>
    <t>Single 45</t>
  </si>
  <si>
    <t>Double 45</t>
  </si>
  <si>
    <t>Rounded</t>
  </si>
  <si>
    <t>Mach Lugs == No Atlas Mount</t>
  </si>
  <si>
    <t xml:space="preserve">Exists if 5H_14x8S is chosen and NO OTHER snare sizes are chosen. </t>
  </si>
  <si>
    <t>Qty</t>
  </si>
  <si>
    <t>BD Options</t>
  </si>
  <si>
    <t>FT Options</t>
  </si>
  <si>
    <t>TT Options</t>
  </si>
  <si>
    <t>SD Options</t>
  </si>
  <si>
    <t xml:space="preserve">B C E G </t>
  </si>
  <si>
    <t>Legacy_Exotic</t>
  </si>
  <si>
    <t>Classic Maple IOV</t>
  </si>
  <si>
    <t>IntFin_Clear</t>
  </si>
  <si>
    <t>Z6 Birdseye Maple</t>
  </si>
  <si>
    <t>2P Blue Olive Oyster</t>
  </si>
  <si>
    <t>B1 Bubinga, Nat/Mahogany Burst</t>
  </si>
  <si>
    <t>12_20B</t>
  </si>
  <si>
    <t>LB820</t>
  </si>
  <si>
    <t>LLB320</t>
  </si>
  <si>
    <t>LLB520</t>
  </si>
  <si>
    <t>LLB420</t>
  </si>
  <si>
    <t>LCB720</t>
  </si>
  <si>
    <t>12x24 Bass Drum</t>
  </si>
  <si>
    <t>Bass Large Twin</t>
  </si>
  <si>
    <t>WT</t>
  </si>
  <si>
    <t>LH</t>
  </si>
  <si>
    <t>Edges_Legacy_Maple</t>
  </si>
  <si>
    <t>Legacy Edges</t>
  </si>
  <si>
    <t>Validate T-Handles</t>
  </si>
  <si>
    <t>A</t>
  </si>
  <si>
    <t>B</t>
  </si>
  <si>
    <t>C</t>
  </si>
  <si>
    <t>D</t>
  </si>
  <si>
    <t>E</t>
  </si>
  <si>
    <t>F</t>
  </si>
  <si>
    <t>G</t>
  </si>
  <si>
    <t>For Each Line</t>
  </si>
  <si>
    <t>615 == No vibraBand</t>
  </si>
  <si>
    <t>This box works out whether single head is an option for each line</t>
  </si>
  <si>
    <t>Chosen</t>
  </si>
  <si>
    <t>Short Desc</t>
  </si>
  <si>
    <t>Details</t>
  </si>
  <si>
    <t>Descriptive Item #</t>
  </si>
  <si>
    <t>Itm Retail</t>
  </si>
  <si>
    <t>Item Map</t>
  </si>
  <si>
    <t>Incomplete</t>
  </si>
  <si>
    <t>Discount Lookup</t>
  </si>
  <si>
    <t>Classic_Oak</t>
  </si>
  <si>
    <t>Legacy Maple W</t>
  </si>
  <si>
    <t>32 Blue Sparkle</t>
  </si>
  <si>
    <t>BN Burnt Natural</t>
  </si>
  <si>
    <t>14x20 Bass Drum</t>
  </si>
  <si>
    <t>14_20B</t>
  </si>
  <si>
    <t>LB840</t>
  </si>
  <si>
    <t>LLB340</t>
  </si>
  <si>
    <t>LLB540</t>
  </si>
  <si>
    <t>LLB440</t>
  </si>
  <si>
    <t>LCB740</t>
  </si>
  <si>
    <t>12x26 Bass Drum</t>
  </si>
  <si>
    <t>Bass Large Imperial</t>
  </si>
  <si>
    <t>WI</t>
  </si>
  <si>
    <t>A2</t>
  </si>
  <si>
    <t>DK3:DK5 is named range "Shell Mount"</t>
  </si>
  <si>
    <t>WrapsSN</t>
  </si>
  <si>
    <t>MH</t>
  </si>
  <si>
    <t>Sprays</t>
  </si>
  <si>
    <t>Sable</t>
  </si>
  <si>
    <t>Satins</t>
  </si>
  <si>
    <t>SN0N</t>
  </si>
  <si>
    <t>Edges_Legacy_Mahogany</t>
  </si>
  <si>
    <t>1 if conflict.</t>
  </si>
  <si>
    <t>Drum Type</t>
  </si>
  <si>
    <t>Size Class</t>
  </si>
  <si>
    <t>Lug Type</t>
  </si>
  <si>
    <t>Double Single</t>
  </si>
  <si>
    <t>Count</t>
  </si>
  <si>
    <t>qty</t>
  </si>
  <si>
    <t>Type v Size, 1 if error</t>
  </si>
  <si>
    <t>Size v Lugs, 1 if error</t>
  </si>
  <si>
    <t>Type v Mounts, 1 if error</t>
  </si>
  <si>
    <t>BDMount</t>
  </si>
  <si>
    <t>FTMount</t>
  </si>
  <si>
    <t>TTMount</t>
  </si>
  <si>
    <t>SDMount</t>
  </si>
  <si>
    <t>Tom_DblSngl</t>
  </si>
  <si>
    <t>Floor_DblSngl</t>
  </si>
  <si>
    <t>Bass_DblSngl</t>
  </si>
  <si>
    <t>5.5x14 8 Lug Snare</t>
  </si>
  <si>
    <t>Legacy Mahogany W</t>
  </si>
  <si>
    <t>BY Burgundy Pearl</t>
  </si>
  <si>
    <t>DR Diablo Red</t>
  </si>
  <si>
    <t>16x20 Bass Drum</t>
  </si>
  <si>
    <t>16_20B</t>
  </si>
  <si>
    <t>LB860</t>
  </si>
  <si>
    <t>LLB360</t>
  </si>
  <si>
    <t>LLB560</t>
  </si>
  <si>
    <t>LLB460</t>
  </si>
  <si>
    <t>LCB760</t>
  </si>
  <si>
    <t>Floor Mini Classic</t>
  </si>
  <si>
    <t>A1</t>
  </si>
  <si>
    <t>Satin Natural w/Inlay</t>
  </si>
  <si>
    <t>Satin Natural</t>
  </si>
  <si>
    <t>Matching Hoop w/Inlay</t>
  </si>
  <si>
    <t>Natural Hoop</t>
  </si>
  <si>
    <t>Edges_Legacy_Exotic</t>
  </si>
  <si>
    <t>lines</t>
  </si>
  <si>
    <t>80 Blue Strata</t>
  </si>
  <si>
    <t>Legacy Mahogany S</t>
  </si>
  <si>
    <t>A3 Citrus Mod</t>
  </si>
  <si>
    <t>0Y Charcoal Shadow</t>
  </si>
  <si>
    <t>18x20 Bass Drum</t>
  </si>
  <si>
    <t>18_20B</t>
  </si>
  <si>
    <t>LB880</t>
  </si>
  <si>
    <t>LLB380</t>
  </si>
  <si>
    <t>LLB580</t>
  </si>
  <si>
    <t>LLB480</t>
  </si>
  <si>
    <t>LCB780</t>
  </si>
  <si>
    <t>Floor Large Classic</t>
  </si>
  <si>
    <t>AA</t>
  </si>
  <si>
    <t>Satin Sable</t>
  </si>
  <si>
    <t>Edges_Classic_Oak</t>
  </si>
  <si>
    <t>6x12 Snare</t>
  </si>
  <si>
    <t>LB</t>
  </si>
  <si>
    <t>Bass_Drum</t>
  </si>
  <si>
    <t>45 Brushed Silver</t>
  </si>
  <si>
    <t>Legacy Exotic S</t>
  </si>
  <si>
    <t>87 Classic Olive Pearl</t>
  </si>
  <si>
    <t>0L Cherry Stain</t>
  </si>
  <si>
    <t>20x20 Bass Drum</t>
  </si>
  <si>
    <t>12_22B</t>
  </si>
  <si>
    <t>20_20B</t>
  </si>
  <si>
    <t>LB800</t>
  </si>
  <si>
    <t>LLB300</t>
  </si>
  <si>
    <t>LLB500</t>
  </si>
  <si>
    <t>LLB400</t>
  </si>
  <si>
    <t>14x22 Bass Drum</t>
  </si>
  <si>
    <t>Floor Mach Lugs</t>
  </si>
  <si>
    <t>EX</t>
  </si>
  <si>
    <t>No Shell Mount</t>
  </si>
  <si>
    <t>3.5x13 Snare</t>
  </si>
  <si>
    <t>Tom_Tom</t>
  </si>
  <si>
    <t>T</t>
  </si>
  <si>
    <t>Legacy Exotic V</t>
  </si>
  <si>
    <t>35 Customer Supply</t>
  </si>
  <si>
    <t>FE Fumed Eucalyptus</t>
  </si>
  <si>
    <t>14_22B</t>
  </si>
  <si>
    <t>LB822</t>
  </si>
  <si>
    <t>LLB322</t>
  </si>
  <si>
    <t>LLB522</t>
  </si>
  <si>
    <t>LLB422</t>
  </si>
  <si>
    <t>LCB722</t>
  </si>
  <si>
    <t>14x24 Bass Drum</t>
  </si>
  <si>
    <t>Big</t>
  </si>
  <si>
    <t>Floor Large Twin</t>
  </si>
  <si>
    <t>ES</t>
  </si>
  <si>
    <t>Satin Sable w/Accent</t>
  </si>
  <si>
    <t>6x13 Snare</t>
  </si>
  <si>
    <t>LF</t>
  </si>
  <si>
    <t>Floor_Tom</t>
  </si>
  <si>
    <t>Legacy Exotic IOV</t>
  </si>
  <si>
    <t>Z4 Bubinga Gloss</t>
  </si>
  <si>
    <t>A5 Digital Black Sparkle</t>
  </si>
  <si>
    <t>RN Golden Slumbers</t>
  </si>
  <si>
    <t>16x22 Bass Drum</t>
  </si>
  <si>
    <t>16_22B</t>
  </si>
  <si>
    <t>LB842</t>
  </si>
  <si>
    <t>LLB342</t>
  </si>
  <si>
    <t>LLB542</t>
  </si>
  <si>
    <t>LLB442</t>
  </si>
  <si>
    <t>LCB742</t>
  </si>
  <si>
    <t>14x26 Bass Drum</t>
  </si>
  <si>
    <t>Floor Large Imperial</t>
  </si>
  <si>
    <t>EH</t>
  </si>
  <si>
    <t>Satin Natural w/Accent</t>
  </si>
  <si>
    <t>4x14 Snare</t>
  </si>
  <si>
    <t>Bass Hoop</t>
  </si>
  <si>
    <t>S</t>
  </si>
  <si>
    <t>Classic Oak W</t>
  </si>
  <si>
    <t>EP Emerald Pearl</t>
  </si>
  <si>
    <t>HB Heritage Blue</t>
  </si>
  <si>
    <t>18x22 Bass Drum</t>
  </si>
  <si>
    <t>18_22B</t>
  </si>
  <si>
    <t>LB862</t>
  </si>
  <si>
    <t>LLB362</t>
  </si>
  <si>
    <t>LLB562</t>
  </si>
  <si>
    <t>LLB462</t>
  </si>
  <si>
    <t>LCB762</t>
  </si>
  <si>
    <t>Tom Mini Classic</t>
  </si>
  <si>
    <t>AX</t>
  </si>
  <si>
    <t xml:space="preserve">Sable </t>
  </si>
  <si>
    <t>OakSpray</t>
  </si>
  <si>
    <t>Black Cat</t>
  </si>
  <si>
    <t>Edges Pricing Lookup</t>
  </si>
  <si>
    <t>5x14 Snare</t>
  </si>
  <si>
    <t>Inlay / Accent</t>
  </si>
  <si>
    <t>Classic Oak S</t>
  </si>
  <si>
    <t>GL Glacier Blue</t>
  </si>
  <si>
    <t>HG Heritage Green</t>
  </si>
  <si>
    <t>20x22 Bass Drum</t>
  </si>
  <si>
    <t>20_22B</t>
  </si>
  <si>
    <t>LB882</t>
  </si>
  <si>
    <t>LLB382</t>
  </si>
  <si>
    <t>LLB582</t>
  </si>
  <si>
    <t>LLB482</t>
  </si>
  <si>
    <t>LCB782</t>
  </si>
  <si>
    <t>Tom Large Classic</t>
  </si>
  <si>
    <t>Natural w/Inlay</t>
  </si>
  <si>
    <t>Legacy Maple Legacy Edges</t>
  </si>
  <si>
    <t>6.5x14 Snare</t>
  </si>
  <si>
    <t>Final answer</t>
  </si>
  <si>
    <t>33 Gold Sparkle</t>
  </si>
  <si>
    <t>S1 Lacewood, Nat-Red Burst</t>
  </si>
  <si>
    <t>12_24B</t>
  </si>
  <si>
    <t>LB802</t>
  </si>
  <si>
    <t>LLB302</t>
  </si>
  <si>
    <t>LLB502</t>
  </si>
  <si>
    <t>LLB402</t>
  </si>
  <si>
    <t>LCB702</t>
  </si>
  <si>
    <t>Tom Mach Lugs</t>
  </si>
  <si>
    <t>Tom Mounts</t>
  </si>
  <si>
    <t>No Tom Holder / Bracket</t>
  </si>
  <si>
    <t>Natural w/Accent</t>
  </si>
  <si>
    <t>Legacy Mahogany Legacy Edges</t>
  </si>
  <si>
    <t>8x14 Snare</t>
  </si>
  <si>
    <t>Double/Single</t>
  </si>
  <si>
    <t>54 Green Sparkle</t>
  </si>
  <si>
    <t>S2 Lacewood, Supernatural</t>
  </si>
  <si>
    <t>14_24B</t>
  </si>
  <si>
    <t>LB824</t>
  </si>
  <si>
    <t>LLB324</t>
  </si>
  <si>
    <t>LLB524</t>
  </si>
  <si>
    <t>LLB424</t>
  </si>
  <si>
    <t>LCB724</t>
  </si>
  <si>
    <t>16x24 Bass Drum</t>
  </si>
  <si>
    <t>Tom Small Twin</t>
  </si>
  <si>
    <t>No Mounting Bracket</t>
  </si>
  <si>
    <t>Single Tom Holder</t>
  </si>
  <si>
    <t>Legacy Exotic Legacy Edges</t>
  </si>
  <si>
    <t>4x14 8 Lug Snare</t>
  </si>
  <si>
    <t>Tom Holder</t>
  </si>
  <si>
    <t>I messed up a little on finish price, I used the same values for LX V and LX IOV.</t>
  </si>
  <si>
    <t>51 Mod Orange</t>
  </si>
  <si>
    <t>0M Mahogany Stain</t>
  </si>
  <si>
    <t>16_24B</t>
  </si>
  <si>
    <t>LB844</t>
  </si>
  <si>
    <t>LLB344</t>
  </si>
  <si>
    <t>LLB544</t>
  </si>
  <si>
    <t>LLB444</t>
  </si>
  <si>
    <t>LCB744</t>
  </si>
  <si>
    <t>16x26 Bass Drum</t>
  </si>
  <si>
    <t>Tom Small Imperial</t>
  </si>
  <si>
    <t xml:space="preserve">P1216D Classic Ludwig Bracket </t>
  </si>
  <si>
    <t>Double Tom Holder</t>
  </si>
  <si>
    <t>Classic Oak Double 45</t>
  </si>
  <si>
    <t>5x14 8 Lug Snare</t>
  </si>
  <si>
    <t>Cast Brass</t>
  </si>
  <si>
    <t>86 Olive Oyster</t>
  </si>
  <si>
    <t>0N Natural Maple</t>
  </si>
  <si>
    <t>BH Night Oak</t>
  </si>
  <si>
    <t>18x24 Bass Drum</t>
  </si>
  <si>
    <t>18_24B</t>
  </si>
  <si>
    <t>LB864</t>
  </si>
  <si>
    <t>LLB364</t>
  </si>
  <si>
    <t>LLB564</t>
  </si>
  <si>
    <t>LLB464</t>
  </si>
  <si>
    <t>LCB764</t>
  </si>
  <si>
    <t>Snare Small Twin</t>
  </si>
  <si>
    <t>Vibraband w/P1216D Brkt</t>
  </si>
  <si>
    <t>Classic Maple Single 45</t>
  </si>
  <si>
    <t>6.5x14 8 Lug Snare</t>
  </si>
  <si>
    <t>Blue Olive</t>
  </si>
  <si>
    <t>JB Jumbo Black Pearl</t>
  </si>
  <si>
    <t>FinType</t>
  </si>
  <si>
    <t>Looks up FinType based on selection</t>
  </si>
  <si>
    <t>27 Red Sparkle</t>
  </si>
  <si>
    <t>36 Olive Sparkle</t>
  </si>
  <si>
    <t>0T Sable Classic Coat</t>
  </si>
  <si>
    <t>20x24 Bass Drum</t>
  </si>
  <si>
    <t>20_24B</t>
  </si>
  <si>
    <t>LB884</t>
  </si>
  <si>
    <t>LLB384</t>
  </si>
  <si>
    <t>LLB584</t>
  </si>
  <si>
    <t>LLB484</t>
  </si>
  <si>
    <t>LCB784</t>
  </si>
  <si>
    <t>Snare Mini Classic</t>
  </si>
  <si>
    <t>PM0046 Atlas Tom Bracket</t>
  </si>
  <si>
    <t>AM</t>
  </si>
  <si>
    <t>Classic Maple Double 45</t>
  </si>
  <si>
    <t>Total Other Snares</t>
  </si>
  <si>
    <t>Position</t>
  </si>
  <si>
    <t>Sm Gold Keystone</t>
  </si>
  <si>
    <t>61 Red Swirl</t>
  </si>
  <si>
    <t>SY Satin Charcoal</t>
  </si>
  <si>
    <t>12_26B</t>
  </si>
  <si>
    <t>LB804</t>
  </si>
  <si>
    <t>LLB304</t>
  </si>
  <si>
    <t>LLB504</t>
  </si>
  <si>
    <t>LLB404</t>
  </si>
  <si>
    <t>LCB704</t>
  </si>
  <si>
    <t>Snare Large Twin</t>
  </si>
  <si>
    <t>PLH1150 Triad Bracket</t>
  </si>
  <si>
    <t>TM</t>
  </si>
  <si>
    <t>Classic Maple Rounded</t>
  </si>
  <si>
    <t>Screws</t>
  </si>
  <si>
    <t>Fine tune the details here.</t>
  </si>
  <si>
    <t>Standard Options:</t>
  </si>
  <si>
    <t>Change to:</t>
  </si>
  <si>
    <t>Chrome Cast</t>
  </si>
  <si>
    <t>IntFin</t>
  </si>
  <si>
    <t>0S Silver Sparkle</t>
  </si>
  <si>
    <t>SL Satin Cherry</t>
  </si>
  <si>
    <t>14_26B</t>
  </si>
  <si>
    <t>LB826</t>
  </si>
  <si>
    <t>LLB326</t>
  </si>
  <si>
    <t>LLB526</t>
  </si>
  <si>
    <t>LLB426</t>
  </si>
  <si>
    <t>LCB726</t>
  </si>
  <si>
    <t>Snare Tube</t>
  </si>
  <si>
    <t>Vibraband w/PLH1150</t>
  </si>
  <si>
    <t>lva_bdHoops</t>
  </si>
  <si>
    <t>If this is &gt; 0, then no T-Handles</t>
  </si>
  <si>
    <t>Returns a 1 if "double" values exist, so then no "Single" option.</t>
  </si>
  <si>
    <t>Snare Bed Exists</t>
  </si>
  <si>
    <t>Legs</t>
  </si>
  <si>
    <t>Bass Drum Details</t>
  </si>
  <si>
    <t xml:space="preserve">Hoops </t>
  </si>
  <si>
    <t>Change to</t>
  </si>
  <si>
    <t>D3/D4 errors</t>
  </si>
  <si>
    <t>Clear Lacquer</t>
  </si>
  <si>
    <t>52 Sky Blue Pearl</t>
  </si>
  <si>
    <t>SM Satin Mahogany</t>
  </si>
  <si>
    <t>16_26B</t>
  </si>
  <si>
    <t>LB846</t>
  </si>
  <si>
    <t>LLB346</t>
  </si>
  <si>
    <t>LLB546</t>
  </si>
  <si>
    <t>LLB446</t>
  </si>
  <si>
    <t>LCB746</t>
  </si>
  <si>
    <t>Snare Small Imperial</t>
  </si>
  <si>
    <t>P7202A Keystone Tom Bracket</t>
  </si>
  <si>
    <t>KM</t>
  </si>
  <si>
    <t>Total Drums</t>
  </si>
  <si>
    <t>Compares to</t>
  </si>
  <si>
    <t>TT_Double</t>
  </si>
  <si>
    <t>Default Value</t>
  </si>
  <si>
    <t>Phonic</t>
  </si>
  <si>
    <t>Tom Bracket</t>
  </si>
  <si>
    <t>Inlay/Accent</t>
  </si>
  <si>
    <t>C7:G7 errors</t>
  </si>
  <si>
    <t>BD Front Head</t>
  </si>
  <si>
    <t>2F Orange Glitter</t>
  </si>
  <si>
    <t>Resa-Cote</t>
  </si>
  <si>
    <t>77 Sunset Diamond Pearl</t>
  </si>
  <si>
    <t>SN Satin Natural</t>
  </si>
  <si>
    <t>LB866</t>
  </si>
  <si>
    <t>LLB366</t>
  </si>
  <si>
    <t>LLB566</t>
  </si>
  <si>
    <t>LLB466</t>
  </si>
  <si>
    <t>LCB766</t>
  </si>
  <si>
    <t>Snare Piccolo Twin</t>
  </si>
  <si>
    <t>Vibraband w/P7202A Brkt</t>
  </si>
  <si>
    <t>In this order</t>
  </si>
  <si>
    <t>Column BZ</t>
  </si>
  <si>
    <t xml:space="preserve">Lugs named </t>
  </si>
  <si>
    <t>Mounts named</t>
  </si>
  <si>
    <t>FT_Double</t>
  </si>
  <si>
    <t>Tone Control</t>
  </si>
  <si>
    <t>BD Count</t>
  </si>
  <si>
    <t xml:space="preserve">Spurs </t>
  </si>
  <si>
    <t>90 Pink Glitter</t>
  </si>
  <si>
    <t>1Q Vintage Black Oyster</t>
  </si>
  <si>
    <t>VB Vintage Bronze Mist</t>
  </si>
  <si>
    <t>SK Smoke</t>
  </si>
  <si>
    <t>12x14 Floor Tom</t>
  </si>
  <si>
    <t>Lug type</t>
  </si>
  <si>
    <t>Single or Double</t>
  </si>
  <si>
    <t>range</t>
  </si>
  <si>
    <t>BD_Double</t>
  </si>
  <si>
    <t>Throwoff</t>
  </si>
  <si>
    <t>Option Hoop Named Range</t>
  </si>
  <si>
    <t>Front Head</t>
  </si>
  <si>
    <t>MC Pure White Glass Glitter</t>
  </si>
  <si>
    <t xml:space="preserve">Looks up the correct named range for </t>
  </si>
  <si>
    <t>12_14F</t>
  </si>
  <si>
    <t xml:space="preserve">Z5 Fumed Eucalyptus </t>
  </si>
  <si>
    <t>2Q Vintage Blue Oyster</t>
  </si>
  <si>
    <t>TW Tennessee Whiskey</t>
  </si>
  <si>
    <t>Classic Maple Floor Size</t>
  </si>
  <si>
    <t>Legacy Maple Floor Size</t>
  </si>
  <si>
    <t>Legacy Mahogany Floor Size</t>
  </si>
  <si>
    <t>Legacy Exotic Floor Size</t>
  </si>
  <si>
    <t>Classic Oak Floor Size</t>
  </si>
  <si>
    <t>13x14 Floor Tom</t>
  </si>
  <si>
    <t>Floor Mounts</t>
  </si>
  <si>
    <t>These safeties kick in if user goes back and changes</t>
  </si>
  <si>
    <t>Butt</t>
  </si>
  <si>
    <t>Option inlay range</t>
  </si>
  <si>
    <t>Batter Head</t>
  </si>
  <si>
    <t>Clear PS3</t>
  </si>
  <si>
    <t>No Option</t>
  </si>
  <si>
    <t>Any Errors at all</t>
  </si>
  <si>
    <t>validation of Interior finish choice C5.</t>
  </si>
  <si>
    <t>13_14F</t>
  </si>
  <si>
    <t>VP Vintage Pink Oyster</t>
  </si>
  <si>
    <t>LF824</t>
  </si>
  <si>
    <t>LLF324</t>
  </si>
  <si>
    <t>LLF524</t>
  </si>
  <si>
    <t>LLF424</t>
  </si>
  <si>
    <t>LCF724</t>
  </si>
  <si>
    <t>13x15 Floor Tom</t>
  </si>
  <si>
    <t>LC5023TL Classic Brkts/Legs</t>
  </si>
  <si>
    <t>Use this Named Range</t>
  </si>
  <si>
    <t xml:space="preserve">an earlier selection, causing an 'unmakable'.  </t>
  </si>
  <si>
    <t>Vintage '63</t>
  </si>
  <si>
    <t>Tension Rods</t>
  </si>
  <si>
    <t>Keyrods</t>
  </si>
  <si>
    <t>14_14F</t>
  </si>
  <si>
    <t>NM Vintage White Marine</t>
  </si>
  <si>
    <t>MH Vintage Mahogany</t>
  </si>
  <si>
    <t>LF834</t>
  </si>
  <si>
    <t>LLF334</t>
  </si>
  <si>
    <t>LLF534</t>
  </si>
  <si>
    <t>LLF434</t>
  </si>
  <si>
    <t>LCF734</t>
  </si>
  <si>
    <t>13x16 Floor tom</t>
  </si>
  <si>
    <t>LTL No Legs or Brackets</t>
  </si>
  <si>
    <t>if 0, then you can choose Single or dbl head</t>
  </si>
  <si>
    <t>Snare Hoops</t>
  </si>
  <si>
    <t>None</t>
  </si>
  <si>
    <t>SP ShamPayne</t>
  </si>
  <si>
    <t>13_15F</t>
  </si>
  <si>
    <t>0F White Cortex</t>
  </si>
  <si>
    <t>14x14 Floor Tom</t>
  </si>
  <si>
    <t>LF844</t>
  </si>
  <si>
    <t>LLF344</t>
  </si>
  <si>
    <t>LLF544</t>
  </si>
  <si>
    <t>LLF444</t>
  </si>
  <si>
    <t>LCF744</t>
  </si>
  <si>
    <t>PLH1152 Triad Brkts/Legs</t>
  </si>
  <si>
    <t>TR</t>
  </si>
  <si>
    <t>Lug Choices</t>
  </si>
  <si>
    <t>Spur Choices</t>
  </si>
  <si>
    <t>CD_Bass_Mounts</t>
  </si>
  <si>
    <t>if 1, you can only choose dbl heads</t>
  </si>
  <si>
    <t>Use this named range:</t>
  </si>
  <si>
    <t>Batter</t>
  </si>
  <si>
    <t>Bearing Edge</t>
  </si>
  <si>
    <t>14_15F</t>
  </si>
  <si>
    <t>0P White Marine Pearl</t>
  </si>
  <si>
    <t>LF835</t>
  </si>
  <si>
    <t>LLF335</t>
  </si>
  <si>
    <t>LLF535</t>
  </si>
  <si>
    <t>LLF435</t>
  </si>
  <si>
    <t>LCF735</t>
  </si>
  <si>
    <t>14x15 Floor Tom</t>
  </si>
  <si>
    <t>PM0046  Atlas Brkts/Legs</t>
  </si>
  <si>
    <t>Mini Classic</t>
  </si>
  <si>
    <t>Elite Kick Style</t>
  </si>
  <si>
    <t>LL_Bass_Mounts</t>
  </si>
  <si>
    <t>Reso</t>
  </si>
  <si>
    <t>Double / Single Head</t>
  </si>
  <si>
    <t>Double</t>
  </si>
  <si>
    <t>Hoop</t>
  </si>
  <si>
    <t>Inlay accent</t>
  </si>
  <si>
    <t>Found in List of Pended</t>
  </si>
  <si>
    <t>13_16F</t>
  </si>
  <si>
    <t>LF845</t>
  </si>
  <si>
    <t>LLF345</t>
  </si>
  <si>
    <t>LLF545</t>
  </si>
  <si>
    <t>LLF445</t>
  </si>
  <si>
    <t>LCF745</t>
  </si>
  <si>
    <t>14x16 Floor Tom</t>
  </si>
  <si>
    <t>LC7202TL Keystone Brkts/Legs</t>
  </si>
  <si>
    <t>KX</t>
  </si>
  <si>
    <t>Large Classic</t>
  </si>
  <si>
    <t>Atlas Anchor</t>
  </si>
  <si>
    <t>Bass_Mounts</t>
  </si>
  <si>
    <t>DblSngl</t>
  </si>
  <si>
    <t>Named Ranges</t>
  </si>
  <si>
    <t>C3</t>
  </si>
  <si>
    <t>Pended Finishes, available While Supplies Last</t>
  </si>
  <si>
    <t>14_16F</t>
  </si>
  <si>
    <t>13x16 Floor Tom</t>
  </si>
  <si>
    <t>LF836</t>
  </si>
  <si>
    <t>LLF336</t>
  </si>
  <si>
    <t>LLF536</t>
  </si>
  <si>
    <t>LLF436</t>
  </si>
  <si>
    <t>LCF736</t>
  </si>
  <si>
    <t>15x16 Floor Tom</t>
  </si>
  <si>
    <t>Mach Lugs</t>
  </si>
  <si>
    <t>Curved Spurs</t>
  </si>
  <si>
    <t>Single</t>
  </si>
  <si>
    <t>sdBedChoice</t>
  </si>
  <si>
    <t>Interior Finish</t>
  </si>
  <si>
    <t>TT Count</t>
  </si>
  <si>
    <t>Tom Tom Details</t>
  </si>
  <si>
    <t>Full Finish</t>
  </si>
  <si>
    <t>37 Teal Blue Sparkle</t>
  </si>
  <si>
    <t>15_16F</t>
  </si>
  <si>
    <t>LF846</t>
  </si>
  <si>
    <t>LLF346</t>
  </si>
  <si>
    <t>LLF546</t>
  </si>
  <si>
    <t>LLF446</t>
  </si>
  <si>
    <t>LCF746</t>
  </si>
  <si>
    <t>16x16 Floor Tom</t>
  </si>
  <si>
    <t xml:space="preserve">Throwoff pricing. </t>
  </si>
  <si>
    <t>Large Twin</t>
  </si>
  <si>
    <t>Folding Spurs</t>
  </si>
  <si>
    <t>sdBedNoChoice</t>
  </si>
  <si>
    <t>Drum Total</t>
  </si>
  <si>
    <t>FT Count</t>
  </si>
  <si>
    <t>Clear Emperor</t>
  </si>
  <si>
    <t>Sable Black w/Inlay</t>
  </si>
  <si>
    <t>2A Titanium Glitter</t>
  </si>
  <si>
    <t>16_16F</t>
  </si>
  <si>
    <t>LF856</t>
  </si>
  <si>
    <t>LLF356</t>
  </si>
  <si>
    <t>LLF556</t>
  </si>
  <si>
    <t>LLF456</t>
  </si>
  <si>
    <t>LCF756</t>
  </si>
  <si>
    <t>16x18 Floor Tom</t>
  </si>
  <si>
    <t>SizeGroup</t>
  </si>
  <si>
    <t>P85 Supraphonic Strainer</t>
  </si>
  <si>
    <t>Large Imperial</t>
  </si>
  <si>
    <t>No Spurs or Drilling</t>
  </si>
  <si>
    <t>Bottom Head</t>
  </si>
  <si>
    <t>16_18F</t>
  </si>
  <si>
    <t>LF866</t>
  </si>
  <si>
    <t>LLF366</t>
  </si>
  <si>
    <t>LLF566</t>
  </si>
  <si>
    <t>LLF466</t>
  </si>
  <si>
    <t>LCF766</t>
  </si>
  <si>
    <t>10x12 Tom Tom</t>
  </si>
  <si>
    <t>AnyBrkt</t>
  </si>
  <si>
    <t>P86 Millennium Strainer</t>
  </si>
  <si>
    <t>Wraps</t>
  </si>
  <si>
    <t>7_6T</t>
  </si>
  <si>
    <t>LF868</t>
  </si>
  <si>
    <t>LLF368</t>
  </si>
  <si>
    <t>LLF568</t>
  </si>
  <si>
    <t>LLF468</t>
  </si>
  <si>
    <t>LCF768</t>
  </si>
  <si>
    <t>10x13 Tom Tom</t>
  </si>
  <si>
    <t>P80 Piccolo Strainer</t>
  </si>
  <si>
    <t>8_6T</t>
  </si>
  <si>
    <t>10x14 Tom Tom</t>
  </si>
  <si>
    <t>P88 Atlas Throwoff</t>
  </si>
  <si>
    <t>Full Width Accent</t>
  </si>
  <si>
    <t>7_8T</t>
  </si>
  <si>
    <t>11x12 Tom Tom</t>
  </si>
  <si>
    <t>Heads</t>
  </si>
  <si>
    <t>Default Spur</t>
  </si>
  <si>
    <t>Floor Tom Details</t>
  </si>
  <si>
    <t>Sable Black w/Accent Inlay</t>
  </si>
  <si>
    <t>8_8T</t>
  </si>
  <si>
    <t>Classic Maple Tom Size</t>
  </si>
  <si>
    <t>Legacy Maple Tom Size</t>
  </si>
  <si>
    <t>Legacy Mahogany Tom Size</t>
  </si>
  <si>
    <t>Legacy Exotic Tom Size</t>
  </si>
  <si>
    <t>Classic Oak Tom Size</t>
  </si>
  <si>
    <t>11x13 Tom Tom</t>
  </si>
  <si>
    <t>Spurs_AECFN</t>
  </si>
  <si>
    <t>Natural w/Accent Inlay</t>
  </si>
  <si>
    <t>7_10T</t>
  </si>
  <si>
    <t xml:space="preserve">7x6 Tom Tom </t>
  </si>
  <si>
    <t>LT876</t>
  </si>
  <si>
    <t>11x14 Tom Tom</t>
  </si>
  <si>
    <t>Matching Hoop with Inlay</t>
  </si>
  <si>
    <t>W1 White Strata</t>
  </si>
  <si>
    <t>7H_10T</t>
  </si>
  <si>
    <t>8x6 Tom Tom</t>
  </si>
  <si>
    <t>LT886</t>
  </si>
  <si>
    <t>12x13 Tom Tom</t>
  </si>
  <si>
    <t>Spurs_ECFN</t>
  </si>
  <si>
    <t>N/A</t>
  </si>
  <si>
    <t>T9 Yellow Glitter</t>
  </si>
  <si>
    <t>8_10T</t>
  </si>
  <si>
    <t>7x8 Tom Tom</t>
  </si>
  <si>
    <t>LT888</t>
  </si>
  <si>
    <t>LCT778</t>
  </si>
  <si>
    <t>12x14 Tom Tom</t>
  </si>
  <si>
    <t>This is the named ranges for snare throwoff.</t>
  </si>
  <si>
    <t>Spurs_FN</t>
  </si>
  <si>
    <t>9_10T</t>
  </si>
  <si>
    <t>8x8 Tom Tom</t>
  </si>
  <si>
    <t>LT878</t>
  </si>
  <si>
    <t>LCT788</t>
  </si>
  <si>
    <t>12x15 Tom Tom</t>
  </si>
  <si>
    <t>ShellOnly</t>
  </si>
  <si>
    <t>See column EO to see how the range is selected.</t>
  </si>
  <si>
    <t>Sable Hoop</t>
  </si>
  <si>
    <t>8_12T</t>
  </si>
  <si>
    <t>7x10 Tom Tom</t>
  </si>
  <si>
    <t>LT870</t>
  </si>
  <si>
    <t>LLT370</t>
  </si>
  <si>
    <t>LLT570</t>
  </si>
  <si>
    <t>LLT470</t>
  </si>
  <si>
    <t>LCT770</t>
  </si>
  <si>
    <t>13x14 Tom Tom</t>
  </si>
  <si>
    <t>Throws_85_86_88</t>
  </si>
  <si>
    <t>Spurs_AEFN</t>
  </si>
  <si>
    <t>SD Count</t>
  </si>
  <si>
    <t>Snare Details</t>
  </si>
  <si>
    <t>P35 Atlas</t>
  </si>
  <si>
    <t>9_12T</t>
  </si>
  <si>
    <t xml:space="preserve">7.5x10 Tom Tom </t>
  </si>
  <si>
    <t>LT8750</t>
  </si>
  <si>
    <t>LLT3750</t>
  </si>
  <si>
    <t>LLT5750</t>
  </si>
  <si>
    <t>LLT4750</t>
  </si>
  <si>
    <t>LCT7750</t>
  </si>
  <si>
    <t>13x15 Tom Tom</t>
  </si>
  <si>
    <t>No</t>
  </si>
  <si>
    <t>10_12T</t>
  </si>
  <si>
    <t>8x10 Tom Tom</t>
  </si>
  <si>
    <t>LT880</t>
  </si>
  <si>
    <t>LLT380</t>
  </si>
  <si>
    <t>LLT580</t>
  </si>
  <si>
    <t>LLT480</t>
  </si>
  <si>
    <t>LCT780</t>
  </si>
  <si>
    <t xml:space="preserve">13x16 Tom Tom </t>
  </si>
  <si>
    <t>Spurs_EFN</t>
  </si>
  <si>
    <t>Bass Mounts</t>
  </si>
  <si>
    <t>Hoops</t>
  </si>
  <si>
    <t>Triple Flange</t>
  </si>
  <si>
    <t>11_12T</t>
  </si>
  <si>
    <t>9x10 Tom Tom</t>
  </si>
  <si>
    <t>LT890</t>
  </si>
  <si>
    <t>LLT390</t>
  </si>
  <si>
    <t>LLT590</t>
  </si>
  <si>
    <t>LLT490</t>
  </si>
  <si>
    <t>LCT790</t>
  </si>
  <si>
    <t>14x14 Tom Tom</t>
  </si>
  <si>
    <t>5.5x14 Snare</t>
  </si>
  <si>
    <t>LAP2984MT Atlas Double</t>
  </si>
  <si>
    <t>G8 &gt;&gt; G20</t>
  </si>
  <si>
    <t>Heavy Coated</t>
  </si>
  <si>
    <t>9_13T</t>
  </si>
  <si>
    <t>8x12 Tom Tom</t>
  </si>
  <si>
    <t>LT882</t>
  </si>
  <si>
    <t>LLT382</t>
  </si>
  <si>
    <t>LLT582</t>
  </si>
  <si>
    <t>LLT482</t>
  </si>
  <si>
    <t>LCT782</t>
  </si>
  <si>
    <t>14x15 Tom Tom</t>
  </si>
  <si>
    <t>LAP2985MT Atlas Single</t>
  </si>
  <si>
    <t>C11 Thin</t>
  </si>
  <si>
    <t>Concat</t>
  </si>
  <si>
    <t>10_13T</t>
  </si>
  <si>
    <t>9x12 Tom Tom</t>
  </si>
  <si>
    <t>LT892</t>
  </si>
  <si>
    <t>LLT392</t>
  </si>
  <si>
    <t>LLT592</t>
  </si>
  <si>
    <t>LLT492</t>
  </si>
  <si>
    <t>LCT792</t>
  </si>
  <si>
    <t>14x16 Tom Tom</t>
  </si>
  <si>
    <t>LAC2983MT Atlas Arch Single</t>
  </si>
  <si>
    <t>11_13T</t>
  </si>
  <si>
    <t>LT802</t>
  </si>
  <si>
    <t>LLT302</t>
  </si>
  <si>
    <t>LLT502</t>
  </si>
  <si>
    <t>LLT402</t>
  </si>
  <si>
    <t>LCT702</t>
  </si>
  <si>
    <t>15x16 Tom Tom</t>
  </si>
  <si>
    <t>This table used to index (find) item number based on shell and type.</t>
  </si>
  <si>
    <t>12_13T</t>
  </si>
  <si>
    <t>LT812</t>
  </si>
  <si>
    <t>LLT312</t>
  </si>
  <si>
    <t>LLT512</t>
  </si>
  <si>
    <t>LLT412</t>
  </si>
  <si>
    <t>LCT712</t>
  </si>
  <si>
    <t>16x16 Tom Tom</t>
  </si>
  <si>
    <t>LR2991MT Elite Single Tom Holder</t>
  </si>
  <si>
    <t>Item ##</t>
  </si>
  <si>
    <t>9_14T</t>
  </si>
  <si>
    <t>9x13 Tom Tom</t>
  </si>
  <si>
    <t>LT893</t>
  </si>
  <si>
    <t>LLT393</t>
  </si>
  <si>
    <t>LLT593</t>
  </si>
  <si>
    <t>LLT493</t>
  </si>
  <si>
    <t>LCT793</t>
  </si>
  <si>
    <t>LR2992MT Classic Double Tom Holder</t>
  </si>
  <si>
    <t>MPLBDCUSTOM</t>
  </si>
  <si>
    <t>LCBDCUSTOM</t>
  </si>
  <si>
    <t>LMBDCUSTOM</t>
  </si>
  <si>
    <t>LXBDCUSTOM</t>
  </si>
  <si>
    <t>OAKBDCUSTOM</t>
  </si>
  <si>
    <t>10_14T</t>
  </si>
  <si>
    <t>LT803</t>
  </si>
  <si>
    <t>LLT303</t>
  </si>
  <si>
    <t>LLT503</t>
  </si>
  <si>
    <t>LLT403</t>
  </si>
  <si>
    <t>LCT703</t>
  </si>
  <si>
    <t>Throw_P80</t>
  </si>
  <si>
    <t>is a 12mm tom holder selected?</t>
  </si>
  <si>
    <t>MPLTTCUSTOM</t>
  </si>
  <si>
    <t>LCTTCUSTOM</t>
  </si>
  <si>
    <t>LMTTCUSTOM</t>
  </si>
  <si>
    <t>LXTTCUSTOM</t>
  </si>
  <si>
    <t>OAKTTCUSTOM</t>
  </si>
  <si>
    <t>11_14T</t>
  </si>
  <si>
    <t>LT813</t>
  </si>
  <si>
    <t>LLT313</t>
  </si>
  <si>
    <t>LLT513</t>
  </si>
  <si>
    <t>LLT413</t>
  </si>
  <si>
    <t>LCT713</t>
  </si>
  <si>
    <t>is a 10mm tom holder selected?</t>
  </si>
  <si>
    <t>LR2981MT Rocker Single Tom Holder</t>
  </si>
  <si>
    <t>MPLFTCUSTOM</t>
  </si>
  <si>
    <t>LCFTCUSTOM</t>
  </si>
  <si>
    <t>LMFTCUSTOM</t>
  </si>
  <si>
    <t>LXFTCUSTOM</t>
  </si>
  <si>
    <t>OAKFTCUSTOM</t>
  </si>
  <si>
    <t>12_14T</t>
  </si>
  <si>
    <t>LT823</t>
  </si>
  <si>
    <t>LLT323</t>
  </si>
  <si>
    <t>LLT523</t>
  </si>
  <si>
    <t>LLT423</t>
  </si>
  <si>
    <t>LCT723</t>
  </si>
  <si>
    <t>is a 9mm tom holder selected</t>
  </si>
  <si>
    <t>LR2980MT Rocker Double Tom Holder</t>
  </si>
  <si>
    <t>MPLSDCUSTOM</t>
  </si>
  <si>
    <t>LCSDCUSTOM</t>
  </si>
  <si>
    <t>LMSDCUSTOM</t>
  </si>
  <si>
    <t>LXSDCUSTOM</t>
  </si>
  <si>
    <t>OAKSDCUSTOM</t>
  </si>
  <si>
    <t>13_14T</t>
  </si>
  <si>
    <t>9x14 Tom Tom</t>
  </si>
  <si>
    <t>LT894</t>
  </si>
  <si>
    <t>LLT394</t>
  </si>
  <si>
    <t>LLT594</t>
  </si>
  <si>
    <t>LLT494</t>
  </si>
  <si>
    <t>LCT794</t>
  </si>
  <si>
    <t>14_14T</t>
  </si>
  <si>
    <t>LT804</t>
  </si>
  <si>
    <t>LLT304</t>
  </si>
  <si>
    <t>LLT504</t>
  </si>
  <si>
    <t>LLT404</t>
  </si>
  <si>
    <t>LCT704</t>
  </si>
  <si>
    <t>is a 12mm tom bracket selected?</t>
  </si>
  <si>
    <t>V</t>
  </si>
  <si>
    <t>12_15T</t>
  </si>
  <si>
    <t>LT814</t>
  </si>
  <si>
    <t>LLT314</t>
  </si>
  <si>
    <t>LLT514</t>
  </si>
  <si>
    <t>LLT414</t>
  </si>
  <si>
    <t>LCT714</t>
  </si>
  <si>
    <t>is a 10mm tom bracket selected?</t>
  </si>
  <si>
    <t>Z58</t>
  </si>
  <si>
    <t>13_15T</t>
  </si>
  <si>
    <t>LT824</t>
  </si>
  <si>
    <t>LLT324</t>
  </si>
  <si>
    <t>LLT524</t>
  </si>
  <si>
    <t>LLT424</t>
  </si>
  <si>
    <t>LCT724</t>
  </si>
  <si>
    <t>is a 9mm tom bracket selected?</t>
  </si>
  <si>
    <t>14_15T</t>
  </si>
  <si>
    <t>LT834</t>
  </si>
  <si>
    <t>LLT334</t>
  </si>
  <si>
    <t>LLT534</t>
  </si>
  <si>
    <t>LLT434</t>
  </si>
  <si>
    <t>LCT734</t>
  </si>
  <si>
    <t>Disco March of 2021</t>
  </si>
  <si>
    <t>13_16T</t>
  </si>
  <si>
    <t>LT844</t>
  </si>
  <si>
    <t>LLT344</t>
  </si>
  <si>
    <t>LLT544</t>
  </si>
  <si>
    <t>LLT444</t>
  </si>
  <si>
    <t>LCT744</t>
  </si>
  <si>
    <t>Tom bracket too big</t>
  </si>
  <si>
    <t>14_16T</t>
  </si>
  <si>
    <t>LT825</t>
  </si>
  <si>
    <t>LLT325</t>
  </si>
  <si>
    <t>LLT525</t>
  </si>
  <si>
    <t>LLT425</t>
  </si>
  <si>
    <t>LCT725</t>
  </si>
  <si>
    <t>Tom bracket too small</t>
  </si>
  <si>
    <t>15_16T</t>
  </si>
  <si>
    <t>LT835</t>
  </si>
  <si>
    <t>LLT335</t>
  </si>
  <si>
    <t>LLT535</t>
  </si>
  <si>
    <t>LLT435</t>
  </si>
  <si>
    <t>LCT735</t>
  </si>
  <si>
    <t>Tom Holder/Brkt Mis-Match</t>
  </si>
  <si>
    <t>L2 Limba, Supernatural</t>
  </si>
  <si>
    <t>16_16T</t>
  </si>
  <si>
    <t>LT845</t>
  </si>
  <si>
    <t>LLT345</t>
  </si>
  <si>
    <t>LLT545</t>
  </si>
  <si>
    <t>LLT445</t>
  </si>
  <si>
    <t>LCT745</t>
  </si>
  <si>
    <t>PT</t>
  </si>
  <si>
    <t>EH53</t>
  </si>
  <si>
    <t>Tom Brkt too small</t>
  </si>
  <si>
    <t>L1 Limba, Nat/Mahogany Burst</t>
  </si>
  <si>
    <t>6_12S</t>
  </si>
  <si>
    <t>LLT336</t>
  </si>
  <si>
    <t>LLT536</t>
  </si>
  <si>
    <t>LLT436</t>
  </si>
  <si>
    <t xml:space="preserve">In English:  if a 9mm brkt is chosen, and a 10 or 12mm holder is chosen  </t>
  </si>
  <si>
    <t>F1 Tamo Ash Clear</t>
  </si>
  <si>
    <t>3H_13S</t>
  </si>
  <si>
    <t>LT846</t>
  </si>
  <si>
    <t>LLT346</t>
  </si>
  <si>
    <t>LLT546</t>
  </si>
  <si>
    <t>LLT446</t>
  </si>
  <si>
    <t>LCT746</t>
  </si>
  <si>
    <t>Lug type for Tom Brkt opts</t>
  </si>
  <si>
    <t>ShellOnly.Long</t>
  </si>
  <si>
    <t>6&amp;15 sizes, Mach Lugs</t>
  </si>
  <si>
    <t>OR if a 10mm brkt is chosen and a 12mm holder is chosen</t>
  </si>
  <si>
    <t>IOV</t>
  </si>
  <si>
    <t>6_13S</t>
  </si>
  <si>
    <t>LLT356</t>
  </si>
  <si>
    <t>LLT556</t>
  </si>
  <si>
    <t>LLT456</t>
  </si>
  <si>
    <t>Classic</t>
  </si>
  <si>
    <t>4_14S</t>
  </si>
  <si>
    <t>LT866</t>
  </si>
  <si>
    <t>LLT366</t>
  </si>
  <si>
    <t>LLT566</t>
  </si>
  <si>
    <t>LLT466</t>
  </si>
  <si>
    <t>LCT766</t>
  </si>
  <si>
    <t>EH52</t>
  </si>
  <si>
    <t>Tom Brkt too big.</t>
  </si>
  <si>
    <t>The logic for standard inlay/accent</t>
  </si>
  <si>
    <t>5_14S</t>
  </si>
  <si>
    <t>Small Twin</t>
  </si>
  <si>
    <t>Long</t>
  </si>
  <si>
    <t>In English:  if a 12mm brkt is chosen and a 9 or 10mm holder is chosen</t>
  </si>
  <si>
    <t>if it's Vintage Mahogany and G22 is blank, then NM Vintage White Marine</t>
  </si>
  <si>
    <t>5H_14S</t>
  </si>
  <si>
    <t>Classic Maple Snare Size</t>
  </si>
  <si>
    <t>Legacy Maple Snare Size</t>
  </si>
  <si>
    <t>Legacy Mahogany Snare Size</t>
  </si>
  <si>
    <t>Legacy Exotic Snare Size</t>
  </si>
  <si>
    <t>Classic Oak Snare Size</t>
  </si>
  <si>
    <t>Small Imperial</t>
  </si>
  <si>
    <t>if G22 is blank and E22 is an inlay, then it's C3. (E22 can't be an Accent)</t>
  </si>
  <si>
    <t>6H_14S</t>
  </si>
  <si>
    <t>LS462</t>
  </si>
  <si>
    <t>LLS362</t>
  </si>
  <si>
    <t>LLS562</t>
  </si>
  <si>
    <t>LLS462</t>
  </si>
  <si>
    <t>LS762</t>
  </si>
  <si>
    <t>if G22 is an Accent or an Inlay, then lookup the default inlay</t>
  </si>
  <si>
    <t>8_14S</t>
  </si>
  <si>
    <t>LS555</t>
  </si>
  <si>
    <t>LS733</t>
  </si>
  <si>
    <t>4_14x8S</t>
  </si>
  <si>
    <t>LS557</t>
  </si>
  <si>
    <t>LLS363</t>
  </si>
  <si>
    <t>LLS563</t>
  </si>
  <si>
    <t>LLS463</t>
  </si>
  <si>
    <t>LS763</t>
  </si>
  <si>
    <t>ShellOnly.Classic</t>
  </si>
  <si>
    <t>6&amp;15 sizes, Mini/LC lugs</t>
  </si>
  <si>
    <t>Note to self: for the next generation of this order guide, let's put the print area just to the right of the block, then you can expand forever beyond that.  There's no harm in anyone seeing the print area.</t>
  </si>
  <si>
    <t>W2 Avacado Strata</t>
  </si>
  <si>
    <t>5_14x8S</t>
  </si>
  <si>
    <t>LS444</t>
  </si>
  <si>
    <t>LLS344</t>
  </si>
  <si>
    <t>LLS544</t>
  </si>
  <si>
    <t>LLS444</t>
  </si>
  <si>
    <t>LS744</t>
  </si>
  <si>
    <t>Now you get to create 5 versions of this thing for Tom to distribute.</t>
  </si>
  <si>
    <t>46 Brushed Gold</t>
  </si>
  <si>
    <t>5H_14x8S</t>
  </si>
  <si>
    <t>LS401</t>
  </si>
  <si>
    <t>LLS354</t>
  </si>
  <si>
    <t>LLS554</t>
  </si>
  <si>
    <t>LLS454</t>
  </si>
  <si>
    <t>LS754</t>
  </si>
  <si>
    <t xml:space="preserve">Create them from the "M" version with MAP appearing only when set to RETAIL. </t>
  </si>
  <si>
    <t>W3 Burgundy Mist</t>
  </si>
  <si>
    <t>6H_14x8S</t>
  </si>
  <si>
    <t>LS405</t>
  </si>
  <si>
    <t>LLS305</t>
  </si>
  <si>
    <t>LLS505</t>
  </si>
  <si>
    <t>LLS405</t>
  </si>
  <si>
    <t>LS705</t>
  </si>
  <si>
    <t>P7184A Elite Bass Casting</t>
  </si>
  <si>
    <t xml:space="preserve">I've tested the Block against several customer orders and matched to the penny every time. </t>
  </si>
  <si>
    <t>The cell below creates the named range to lookup up badge options.</t>
  </si>
  <si>
    <t>W4 Copper Rose Mist</t>
  </si>
  <si>
    <t>LS403</t>
  </si>
  <si>
    <t>LLS364</t>
  </si>
  <si>
    <t>LLS564</t>
  </si>
  <si>
    <t>LLS464</t>
  </si>
  <si>
    <t>LS764</t>
  </si>
  <si>
    <t>P1610D Ludwig Bass Casting</t>
  </si>
  <si>
    <t xml:space="preserve">It's nice when things work. </t>
  </si>
  <si>
    <t>81 Ruby Strata</t>
  </si>
  <si>
    <t>LS804</t>
  </si>
  <si>
    <t>LLS384</t>
  </si>
  <si>
    <t>LLS584</t>
  </si>
  <si>
    <t>LLS484</t>
  </si>
  <si>
    <t>LS784</t>
  </si>
  <si>
    <t>PM0062 Atlas Bass Casting</t>
  </si>
  <si>
    <t>SO Salmon Pearl (Disc)</t>
  </si>
  <si>
    <t>SO Salmon Pearl</t>
  </si>
  <si>
    <t>MLLC</t>
  </si>
  <si>
    <t>Classic_Maple_Badge</t>
  </si>
  <si>
    <t>T8 Turquois Glitter</t>
  </si>
  <si>
    <t>this is taken from CPT_Component Drums,  prd_finish.</t>
  </si>
  <si>
    <t>MLLCLL</t>
  </si>
  <si>
    <t>MLLCLLLILT</t>
  </si>
  <si>
    <t>AnyBrkt.Long</t>
  </si>
  <si>
    <t>Common Sizes, Mach Lugs</t>
  </si>
  <si>
    <t>Blue/Olive</t>
  </si>
  <si>
    <t>v_finType</t>
  </si>
  <si>
    <t>Effective</t>
  </si>
  <si>
    <t>Result</t>
  </si>
  <si>
    <t>MLLCLLSIST</t>
  </si>
  <si>
    <t>Large Gold Keystone</t>
  </si>
  <si>
    <t>Black_Cat</t>
  </si>
  <si>
    <t>MLSIST</t>
  </si>
  <si>
    <t>Legacy_Maple_Badge</t>
  </si>
  <si>
    <t>Below is the validation list for PDC in snare options</t>
  </si>
  <si>
    <t>PTTB</t>
  </si>
  <si>
    <t>Piccolo Twin</t>
  </si>
  <si>
    <t>Tube</t>
  </si>
  <si>
    <t>10_14S</t>
  </si>
  <si>
    <t>SISTTB</t>
  </si>
  <si>
    <t>Selected (1 if yes)</t>
  </si>
  <si>
    <t>MLLTSISTTB</t>
  </si>
  <si>
    <t>BB85:BB95 evaluates if each size has been chosen</t>
  </si>
  <si>
    <t>MLSISTTB</t>
  </si>
  <si>
    <t>Legacy_Mahogany_Badge</t>
  </si>
  <si>
    <t>BA80 adds up any sizes that CAN'T have PDC</t>
  </si>
  <si>
    <t>MLSI</t>
  </si>
  <si>
    <t>BC83 is the data validation list for the user selection</t>
  </si>
  <si>
    <t>MLLTSI</t>
  </si>
  <si>
    <t>AnyBrkt.Classic</t>
  </si>
  <si>
    <t>Common Sizes, Mini/LC Lugs</t>
  </si>
  <si>
    <t>Legacy_Exotic_Badge</t>
  </si>
  <si>
    <t>Classic_Oak_Badge</t>
  </si>
  <si>
    <t>Snares CAN'T Have PDC hoops</t>
  </si>
  <si>
    <t>Snares CAN Have PDC hoops</t>
  </si>
  <si>
    <t>Triple_Flange</t>
  </si>
  <si>
    <t>50+10</t>
  </si>
  <si>
    <t>50+15</t>
  </si>
  <si>
    <t>Map</t>
  </si>
  <si>
    <t>PDC</t>
  </si>
  <si>
    <t>Pair Die Cast Hoops</t>
  </si>
  <si>
    <t>You can get all of this from Infor / Item Part Inquiry, dvo Pricing view.</t>
  </si>
  <si>
    <t>A4</t>
  </si>
  <si>
    <t>P1</t>
  </si>
  <si>
    <t>P2</t>
  </si>
  <si>
    <t>E2</t>
  </si>
  <si>
    <t>Exp1</t>
  </si>
  <si>
    <t>Exp2</t>
  </si>
  <si>
    <t>Exp3</t>
  </si>
  <si>
    <t>x</t>
  </si>
  <si>
    <t>IMIA ITEM NUMBER</t>
  </si>
  <si>
    <t>SMGL PRICING TYPE</t>
  </si>
  <si>
    <t>SMGL LEVEL</t>
  </si>
  <si>
    <t>Disc Begin Date</t>
  </si>
  <si>
    <t>List Price</t>
  </si>
  <si>
    <t>NET PRICE</t>
  </si>
  <si>
    <t>SMIL MAP PRICE</t>
  </si>
  <si>
    <t>Item #</t>
  </si>
  <si>
    <t>MAP</t>
  </si>
  <si>
    <t>LB L8</t>
  </si>
  <si>
    <t>LF L8</t>
  </si>
  <si>
    <t>LT L8</t>
  </si>
  <si>
    <t>LS L8</t>
  </si>
  <si>
    <t>LB LL</t>
  </si>
  <si>
    <t>LF LL</t>
  </si>
  <si>
    <t>LT LL</t>
  </si>
  <si>
    <t>LS LL</t>
  </si>
  <si>
    <t>LB LX</t>
  </si>
  <si>
    <t>LF LX</t>
  </si>
  <si>
    <t>LT LX</t>
  </si>
  <si>
    <t>16_18T</t>
  </si>
  <si>
    <t>LS LX</t>
  </si>
  <si>
    <t>LB LM</t>
  </si>
  <si>
    <t>LF LM</t>
  </si>
  <si>
    <t>LT LM</t>
  </si>
  <si>
    <t>LS LM</t>
  </si>
  <si>
    <t>LB LO</t>
  </si>
  <si>
    <t>LF LO</t>
  </si>
  <si>
    <t>LT LO</t>
  </si>
  <si>
    <t>LS LO</t>
  </si>
  <si>
    <t>6_6T</t>
  </si>
  <si>
    <t>6_8T</t>
  </si>
  <si>
    <t>LXSBCUSTOM</t>
  </si>
  <si>
    <t xml:space="preserve">Here's what happens:  </t>
  </si>
  <si>
    <t xml:space="preserve">All drum and option prices in columns BW thru CD are in retail.  That's true to the configurator. </t>
  </si>
  <si>
    <t xml:space="preserve">In rows 8-20, columns D, F, H and I index retail pricing for the size, Lugs, mounts and finish, then wash them through the net and retail (columns P&amp;Q) to present a dealer price. </t>
  </si>
  <si>
    <t xml:space="preserve">This isn't strictly the way the configurator actually does it, but the advantage is that it shows dealer net pricing FOR EACH OPTION along the way.  </t>
  </si>
  <si>
    <t xml:space="preserve">Cell L1 is a validation list of discount levels, and that triggers columns P&amp;Q to call up Net and Retaill pricing for the appropriate configured item number from the pricing block above. </t>
  </si>
  <si>
    <t>Everything on the block washes through net and retail from columns P&amp;Q, so mind your…. Well, you know …</t>
  </si>
  <si>
    <t xml:space="preserve">June 2020, Export Level 1 was changed from [Export Level 2 + 7%] to [Export Level 2 + 25%].  </t>
  </si>
  <si>
    <t xml:space="preserve">Export Level 2 will now only be used for Thomann over in Europe.  A dealer who better buy a bunch of stuff. </t>
  </si>
  <si>
    <t>1</t>
  </si>
  <si>
    <t>2</t>
  </si>
  <si>
    <t>3</t>
  </si>
  <si>
    <t>A2 Lemon Oyster</t>
  </si>
  <si>
    <t>Rev 1/31/23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</si>
</sst>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quot;#,##0.00"/>
    <numFmt numFmtId="166" formatCode="m/dd/yy"/>
  </numFmts>
  <fonts count="48"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theme="0" tint="-0.249977111117893"/>
      <name val="Calibri"/>
      <family val="2"/>
      <scheme val="minor"/>
    </font>
    <font>
      <b/>
      <sz val="11"/>
      <name val="Calibri"/>
      <family val="2"/>
      <scheme val="minor"/>
    </font>
    <font>
      <sz val="10"/>
      <color rgb="FFFF0000"/>
      <name val="Calibri"/>
      <family val="2"/>
      <scheme val="minor"/>
    </font>
    <font>
      <sz val="11"/>
      <color rgb="FF00B050"/>
      <name val="Calibri"/>
      <family val="2"/>
      <scheme val="minor"/>
    </font>
    <font>
      <b/>
      <sz val="11"/>
      <color rgb="FFFF0000"/>
      <name val="Calibri"/>
      <family val="2"/>
      <scheme val="minor"/>
    </font>
    <font>
      <sz val="10"/>
      <color theme="1"/>
      <name val="Calibri"/>
      <family val="2"/>
      <scheme val="minor"/>
    </font>
    <font>
      <sz val="11"/>
      <color rgb="FF00B0F0"/>
      <name val="Calibri"/>
      <family val="2"/>
      <scheme val="minor"/>
    </font>
    <font>
      <sz val="10"/>
      <name val="Arial"/>
      <family val="2"/>
    </font>
    <font>
      <sz val="10"/>
      <name val="Tahoma"/>
      <family val="2"/>
    </font>
    <font>
      <sz val="10"/>
      <color rgb="FFFF0000"/>
      <name val="Arial"/>
      <family val="2"/>
    </font>
    <font>
      <sz val="11"/>
      <color theme="0"/>
      <name val="Calibri"/>
      <family val="2"/>
      <scheme val="minor"/>
    </font>
    <font>
      <sz val="10"/>
      <color rgb="FF00B050"/>
      <name val="Arial"/>
      <family val="2"/>
    </font>
    <font>
      <b/>
      <sz val="12"/>
      <color theme="1"/>
      <name val="Calibri"/>
      <family val="2"/>
      <scheme val="minor"/>
    </font>
    <font>
      <b/>
      <sz val="11"/>
      <color rgb="FF00B050"/>
      <name val="Calibri"/>
      <family val="2"/>
      <scheme val="minor"/>
    </font>
    <font>
      <sz val="12"/>
      <color theme="1"/>
      <name val="Calibri"/>
      <family val="2"/>
      <scheme val="minor"/>
    </font>
    <font>
      <sz val="10"/>
      <color rgb="FF0A0101"/>
      <name val="Helvetica"/>
      <family val="2"/>
    </font>
    <font>
      <sz val="11"/>
      <color rgb="FF92D050"/>
      <name val="Calibri"/>
      <family val="2"/>
      <scheme val="minor"/>
    </font>
    <font>
      <sz val="10"/>
      <color rgb="FF00B050"/>
      <name val="Calibri"/>
      <family val="2"/>
      <scheme val="minor"/>
    </font>
    <font>
      <sz val="11"/>
      <color rgb="FF7030A0"/>
      <name val="Calibri"/>
      <family val="2"/>
      <scheme val="minor"/>
    </font>
    <font>
      <sz val="14"/>
      <color rgb="FF00B0F0"/>
      <name val="Calibri"/>
      <family val="2"/>
      <scheme val="minor"/>
    </font>
    <font>
      <sz val="26"/>
      <color theme="1"/>
      <name val="Calibri"/>
      <family val="2"/>
      <scheme val="minor"/>
    </font>
    <font>
      <sz val="10"/>
      <color rgb="FFFF0000"/>
      <name val="Tahoma"/>
      <family val="2"/>
    </font>
    <font>
      <sz val="10"/>
      <color rgb="FF7030A0"/>
      <name val="Calibri"/>
      <family val="2"/>
      <scheme val="minor"/>
    </font>
    <font>
      <b/>
      <sz val="11"/>
      <color theme="0"/>
      <name val="Calibri"/>
      <family val="2"/>
      <scheme val="minor"/>
    </font>
    <font>
      <b/>
      <sz val="12"/>
      <color rgb="FFFF0000"/>
      <name val="Calibri"/>
      <family val="2"/>
      <scheme val="minor"/>
    </font>
    <font>
      <sz val="10"/>
      <color theme="0" tint="-0.249977111117893"/>
      <name val="Tahoma"/>
      <family val="2"/>
    </font>
    <font>
      <sz val="10"/>
      <color theme="0"/>
      <name val="Arial"/>
      <family val="2"/>
    </font>
    <font>
      <sz val="9"/>
      <color rgb="FF141414"/>
      <name val="Segoe UI"/>
      <family val="2"/>
    </font>
    <font>
      <sz val="10"/>
      <color rgb="FF7030A0"/>
      <name val="Arial"/>
      <family val="2"/>
    </font>
    <font>
      <sz val="10"/>
      <color theme="9" tint="-0.249977111117893"/>
      <name val="Arial"/>
      <family val="2"/>
    </font>
    <font>
      <b/>
      <sz val="14"/>
      <color theme="1"/>
      <name val="Calibri"/>
      <family val="2"/>
      <scheme val="minor"/>
    </font>
    <font>
      <sz val="10"/>
      <name val="Calibri"/>
      <family val="2"/>
      <scheme val="minor"/>
    </font>
    <font>
      <b/>
      <sz val="11"/>
      <color rgb="FF00B0F0"/>
      <name val="Calibri"/>
      <family val="2"/>
      <scheme val="minor"/>
    </font>
    <font>
      <b/>
      <sz val="11"/>
      <color rgb="FF00B0F0"/>
      <name val="Arial"/>
      <family val="2"/>
    </font>
    <font>
      <sz val="8"/>
      <color rgb="FF7030A0"/>
      <name val="Calibri"/>
      <family val="2"/>
      <scheme val="minor"/>
    </font>
    <font>
      <b/>
      <sz val="12"/>
      <name val="Calibri"/>
      <family val="2"/>
      <scheme val="minor"/>
    </font>
    <font>
      <sz val="16"/>
      <color theme="1"/>
      <name val="Calibri"/>
      <family val="2"/>
      <scheme val="minor"/>
    </font>
    <font>
      <sz val="11"/>
      <color theme="5"/>
      <name val="Calibri"/>
      <family val="2"/>
      <scheme val="minor"/>
    </font>
    <font>
      <sz val="22"/>
      <color theme="1"/>
      <name val="Calibri"/>
      <family val="2"/>
      <scheme val="minor"/>
    </font>
    <font>
      <sz val="9"/>
      <color rgb="FF7030A0"/>
      <name val="Calibri"/>
      <family val="2"/>
      <scheme val="minor"/>
    </font>
    <font>
      <sz val="10"/>
      <color rgb="FF00B0F0"/>
      <name val="Arial"/>
      <family val="2"/>
    </font>
    <font>
      <sz val="20"/>
      <color theme="1"/>
      <name val="Calibri"/>
      <family val="2"/>
      <scheme val="minor"/>
    </font>
    <font>
      <sz val="11"/>
      <color indexed="8"/>
      <name val="Calibri"/>
      <family val="2"/>
      <scheme val="minor"/>
    </font>
    <font>
      <b/>
      <sz val="11"/>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0000"/>
        <bgColor indexed="64"/>
      </patternFill>
    </fill>
  </fills>
  <borders count="2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right style="medium">
        <color auto="1"/>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diagonal/>
    </border>
  </borders>
  <cellStyleXfs count="2">
    <xf numFmtId="0" fontId="0" fillId="0" borderId="0"/>
    <xf numFmtId="0" fontId="46" fillId="0" borderId="0"/>
  </cellStyleXfs>
  <cellXfs count="242">
    <xf numFmtId="0" fontId="0" fillId="0" borderId="0" xfId="0"/>
    <xf numFmtId="0" fontId="3" fillId="0" borderId="0" xfId="0" applyFont="1" applyAlignment="1">
      <alignment horizontal="left"/>
    </xf>
    <xf numFmtId="0" fontId="2" fillId="0" borderId="0" xfId="0" applyFont="1"/>
    <xf numFmtId="0" fontId="5" fillId="0" borderId="0" xfId="0" applyFont="1" applyAlignment="1">
      <alignment horizontal="left"/>
    </xf>
    <xf numFmtId="0" fontId="3" fillId="0" borderId="0" xfId="0" applyFont="1"/>
    <xf numFmtId="0" fontId="5" fillId="0" borderId="0" xfId="0" applyFont="1"/>
    <xf numFmtId="0" fontId="4" fillId="0" borderId="0" xfId="0" applyFont="1" applyAlignment="1">
      <alignment horizontal="left"/>
    </xf>
    <xf numFmtId="0" fontId="0" fillId="0" borderId="0" xfId="0" applyAlignment="1">
      <alignment horizontal="left"/>
    </xf>
    <xf numFmtId="0" fontId="1" fillId="0" borderId="0" xfId="0" applyFont="1" applyAlignment="1">
      <alignment horizontal="right"/>
    </xf>
    <xf numFmtId="0" fontId="6" fillId="0" borderId="0" xfId="0" applyFont="1"/>
    <xf numFmtId="0" fontId="7" fillId="0" borderId="0" xfId="0" applyFont="1"/>
    <xf numFmtId="0" fontId="1" fillId="0" borderId="0" xfId="0" applyFont="1"/>
    <xf numFmtId="0" fontId="8" fillId="0" borderId="0" xfId="0" applyFont="1"/>
    <xf numFmtId="0" fontId="0" fillId="0" borderId="0" xfId="0" applyAlignment="1">
      <alignment horizontal="center"/>
    </xf>
    <xf numFmtId="0" fontId="0" fillId="0" borderId="0" xfId="0" applyAlignment="1">
      <alignment horizontal="right"/>
    </xf>
    <xf numFmtId="0" fontId="1" fillId="0" borderId="0" xfId="0" applyFont="1" applyAlignment="1">
      <alignment horizontal="center"/>
    </xf>
    <xf numFmtId="0" fontId="4" fillId="0" borderId="0" xfId="0" applyFont="1"/>
    <xf numFmtId="0" fontId="9" fillId="0" borderId="0" xfId="0" applyFont="1"/>
    <xf numFmtId="0" fontId="11" fillId="0" borderId="0" xfId="0" applyFont="1" applyAlignment="1">
      <alignment horizontal="center"/>
    </xf>
    <xf numFmtId="49" fontId="11" fillId="0" borderId="0" xfId="0" applyNumberFormat="1" applyFont="1" applyAlignment="1">
      <alignment horizontal="center"/>
    </xf>
    <xf numFmtId="0" fontId="12" fillId="0" borderId="0" xfId="0" applyFont="1" applyAlignment="1">
      <alignment horizontal="center"/>
    </xf>
    <xf numFmtId="49" fontId="12" fillId="0" borderId="0" xfId="0" applyNumberFormat="1" applyFont="1" applyAlignment="1">
      <alignment horizontal="center"/>
    </xf>
    <xf numFmtId="49" fontId="13" fillId="0" borderId="0" xfId="0" applyNumberFormat="1" applyFont="1" applyAlignment="1">
      <alignment horizontal="center"/>
    </xf>
    <xf numFmtId="0" fontId="13" fillId="0" borderId="0" xfId="0" applyFont="1" applyAlignment="1">
      <alignment horizontal="center"/>
    </xf>
    <xf numFmtId="0" fontId="11" fillId="0" borderId="0" xfId="0" applyFont="1" applyAlignment="1">
      <alignment horizontal="left"/>
    </xf>
    <xf numFmtId="0" fontId="0" fillId="3" borderId="0" xfId="0" applyFill="1" applyAlignment="1">
      <alignment horizontal="center"/>
    </xf>
    <xf numFmtId="0" fontId="15" fillId="0" borderId="0" xfId="0" applyFont="1" applyAlignment="1">
      <alignment horizontal="left"/>
    </xf>
    <xf numFmtId="0" fontId="4" fillId="0" borderId="0" xfId="0" applyFont="1" applyAlignment="1">
      <alignment horizontal="right"/>
    </xf>
    <xf numFmtId="0" fontId="14" fillId="0" borderId="0" xfId="0" applyFont="1" applyAlignment="1">
      <alignment horizontal="right"/>
    </xf>
    <xf numFmtId="0" fontId="14" fillId="0" borderId="0" xfId="0" applyFont="1"/>
    <xf numFmtId="0" fontId="2" fillId="0" borderId="0" xfId="0" applyFont="1" applyAlignment="1">
      <alignment horizontal="center"/>
    </xf>
    <xf numFmtId="0" fontId="11" fillId="0" borderId="0" xfId="0" applyFont="1" applyAlignment="1">
      <alignment vertical="center"/>
    </xf>
    <xf numFmtId="0" fontId="3" fillId="0" borderId="0" xfId="0" applyFont="1" applyAlignment="1">
      <alignment vertical="center"/>
    </xf>
    <xf numFmtId="0" fontId="12" fillId="0" borderId="0" xfId="0" applyFont="1" applyAlignment="1">
      <alignment horizontal="left"/>
    </xf>
    <xf numFmtId="49" fontId="0" fillId="0" borderId="0" xfId="0" applyNumberFormat="1"/>
    <xf numFmtId="164" fontId="1" fillId="0" borderId="0" xfId="0" applyNumberFormat="1" applyFont="1"/>
    <xf numFmtId="0" fontId="0" fillId="0" borderId="5" xfId="0" applyBorder="1"/>
    <xf numFmtId="0" fontId="0" fillId="0" borderId="6" xfId="0" applyBorder="1"/>
    <xf numFmtId="164" fontId="1" fillId="0" borderId="6" xfId="0" applyNumberFormat="1" applyFont="1" applyBorder="1"/>
    <xf numFmtId="0" fontId="0" fillId="0" borderId="7" xfId="0" applyBorder="1"/>
    <xf numFmtId="0" fontId="0" fillId="0" borderId="2" xfId="0"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8" fillId="0" borderId="4" xfId="0" applyFont="1" applyBorder="1" applyAlignment="1">
      <alignment horizontal="right"/>
    </xf>
    <xf numFmtId="0" fontId="1" fillId="0" borderId="8" xfId="0" applyFont="1" applyBorder="1" applyAlignment="1">
      <alignment horizontal="center"/>
    </xf>
    <xf numFmtId="0" fontId="11" fillId="0" borderId="0" xfId="0" applyFont="1" applyAlignment="1">
      <alignment horizontal="right"/>
    </xf>
    <xf numFmtId="0" fontId="0" fillId="0" borderId="3" xfId="0" applyBorder="1" applyAlignment="1">
      <alignment horizontal="center"/>
    </xf>
    <xf numFmtId="0" fontId="2" fillId="0" borderId="10" xfId="0" applyFont="1" applyBorder="1" applyAlignment="1">
      <alignment horizontal="center"/>
    </xf>
    <xf numFmtId="0" fontId="0" fillId="0" borderId="11" xfId="0" applyBorder="1"/>
    <xf numFmtId="0" fontId="0" fillId="0" borderId="12" xfId="0" applyBorder="1"/>
    <xf numFmtId="164" fontId="7" fillId="0" borderId="0" xfId="0" applyNumberFormat="1" applyFont="1" applyAlignment="1">
      <alignment horizontal="center"/>
    </xf>
    <xf numFmtId="0" fontId="17" fillId="0" borderId="0" xfId="0" applyFont="1" applyAlignment="1">
      <alignment horizontal="center"/>
    </xf>
    <xf numFmtId="0" fontId="7" fillId="0" borderId="0" xfId="0" applyFont="1" applyAlignment="1">
      <alignment horizontal="right"/>
    </xf>
    <xf numFmtId="0" fontId="3" fillId="0" borderId="0" xfId="0" applyFont="1" applyAlignment="1">
      <alignment horizontal="right"/>
    </xf>
    <xf numFmtId="0" fontId="7" fillId="0" borderId="0" xfId="0" applyFont="1" applyAlignment="1">
      <alignment horizontal="left"/>
    </xf>
    <xf numFmtId="0" fontId="14" fillId="0" borderId="0" xfId="0" applyFont="1" applyAlignment="1">
      <alignment horizontal="center"/>
    </xf>
    <xf numFmtId="0" fontId="18" fillId="0" borderId="0" xfId="0" applyFont="1" applyAlignment="1">
      <alignment horizontal="right"/>
    </xf>
    <xf numFmtId="0" fontId="0" fillId="0" borderId="14" xfId="0" applyBorder="1" applyAlignment="1">
      <alignment horizontal="right"/>
    </xf>
    <xf numFmtId="0" fontId="0" fillId="0" borderId="15" xfId="0" applyBorder="1" applyAlignment="1">
      <alignment horizontal="center"/>
    </xf>
    <xf numFmtId="0" fontId="19" fillId="0" borderId="0" xfId="0" applyFont="1"/>
    <xf numFmtId="0" fontId="0" fillId="0" borderId="16" xfId="0" applyBorder="1" applyAlignment="1">
      <alignment horizontal="center"/>
    </xf>
    <xf numFmtId="0" fontId="0" fillId="0" borderId="0" xfId="0" applyAlignment="1">
      <alignment horizontal="left" vertical="center" wrapText="1"/>
    </xf>
    <xf numFmtId="0" fontId="0" fillId="0" borderId="17" xfId="0" applyBorder="1" applyAlignment="1">
      <alignment horizontal="center"/>
    </xf>
    <xf numFmtId="0" fontId="0" fillId="2" borderId="1" xfId="0" applyFill="1" applyBorder="1" applyProtection="1">
      <protection locked="0"/>
    </xf>
    <xf numFmtId="0" fontId="7" fillId="0" borderId="0" xfId="0" applyFont="1" applyAlignment="1">
      <alignment horizontal="center"/>
    </xf>
    <xf numFmtId="0" fontId="21" fillId="0" borderId="0" xfId="0" applyFont="1"/>
    <xf numFmtId="0" fontId="15" fillId="0" borderId="0" xfId="0" applyFont="1" applyAlignment="1">
      <alignment vertical="center"/>
    </xf>
    <xf numFmtId="0" fontId="10" fillId="0" borderId="0" xfId="0" applyFont="1"/>
    <xf numFmtId="0" fontId="21" fillId="0" borderId="0" xfId="0" applyFont="1" applyAlignment="1">
      <alignment horizontal="center"/>
    </xf>
    <xf numFmtId="0" fontId="22" fillId="0" borderId="0" xfId="0" applyFont="1"/>
    <xf numFmtId="0" fontId="23" fillId="0" borderId="0" xfId="0" applyFont="1" applyAlignment="1">
      <alignment horizontal="left" vertical="center"/>
    </xf>
    <xf numFmtId="0" fontId="0" fillId="0" borderId="5" xfId="0" applyBorder="1" applyAlignment="1">
      <alignment horizontal="center"/>
    </xf>
    <xf numFmtId="0" fontId="16" fillId="0" borderId="0" xfId="0" applyFont="1" applyAlignment="1">
      <alignment horizontal="center"/>
    </xf>
    <xf numFmtId="0" fontId="13" fillId="0" borderId="0" xfId="0" applyFont="1" applyAlignment="1">
      <alignment horizontal="left"/>
    </xf>
    <xf numFmtId="0" fontId="0" fillId="0" borderId="0" xfId="0" applyAlignment="1">
      <alignment vertical="center" wrapText="1"/>
    </xf>
    <xf numFmtId="0" fontId="14" fillId="0" borderId="11" xfId="0" applyFont="1" applyBorder="1" applyAlignment="1">
      <alignment horizontal="left"/>
    </xf>
    <xf numFmtId="0" fontId="14" fillId="0" borderId="12" xfId="0" applyFont="1" applyBorder="1"/>
    <xf numFmtId="16" fontId="14" fillId="0" borderId="0" xfId="0" applyNumberFormat="1" applyFont="1"/>
    <xf numFmtId="0" fontId="22" fillId="0" borderId="0" xfId="0" applyFont="1" applyAlignment="1">
      <alignment horizontal="center"/>
    </xf>
    <xf numFmtId="0" fontId="0" fillId="3" borderId="0" xfId="0" applyFill="1"/>
    <xf numFmtId="0" fontId="3" fillId="3" borderId="0" xfId="0" applyFont="1" applyFill="1"/>
    <xf numFmtId="0" fontId="4" fillId="3" borderId="0" xfId="0" applyFont="1" applyFill="1"/>
    <xf numFmtId="0" fontId="7" fillId="3" borderId="0" xfId="0" applyFont="1" applyFill="1"/>
    <xf numFmtId="0" fontId="1" fillId="3" borderId="0" xfId="0" applyFont="1" applyFill="1" applyAlignment="1">
      <alignment vertical="center"/>
    </xf>
    <xf numFmtId="0" fontId="24" fillId="3" borderId="0" xfId="0" applyFont="1" applyFill="1" applyAlignment="1">
      <alignment horizontal="left"/>
    </xf>
    <xf numFmtId="0" fontId="24" fillId="3" borderId="0" xfId="0" applyFont="1" applyFill="1"/>
    <xf numFmtId="0" fontId="0" fillId="0" borderId="16" xfId="0" applyBorder="1" applyAlignment="1">
      <alignment horizontal="center" shrinkToFit="1"/>
    </xf>
    <xf numFmtId="0" fontId="0" fillId="0" borderId="17" xfId="0" applyBorder="1" applyAlignment="1">
      <alignment horizontal="center" shrinkToFit="1"/>
    </xf>
    <xf numFmtId="0" fontId="10" fillId="0" borderId="0" xfId="0" applyFont="1" applyAlignment="1">
      <alignment horizontal="center"/>
    </xf>
    <xf numFmtId="0" fontId="25" fillId="0" borderId="0" xfId="0" applyFont="1" applyAlignment="1">
      <alignment horizontal="center"/>
    </xf>
    <xf numFmtId="0" fontId="0" fillId="3" borderId="0" xfId="0" applyFill="1" applyAlignment="1">
      <alignment horizontal="center" vertical="center" wrapText="1"/>
    </xf>
    <xf numFmtId="0" fontId="26" fillId="0" borderId="0" xfId="0" applyFont="1" applyAlignment="1">
      <alignment horizontal="center"/>
    </xf>
    <xf numFmtId="0" fontId="1" fillId="3" borderId="0" xfId="0" applyFont="1" applyFill="1" applyAlignment="1">
      <alignment horizontal="center"/>
    </xf>
    <xf numFmtId="0" fontId="1" fillId="3" borderId="2" xfId="0" applyFont="1" applyFill="1" applyBorder="1" applyAlignment="1">
      <alignment horizontal="center"/>
    </xf>
    <xf numFmtId="0" fontId="1" fillId="0" borderId="13" xfId="0" applyFont="1" applyBorder="1"/>
    <xf numFmtId="0" fontId="2" fillId="0" borderId="1" xfId="0" applyFont="1" applyBorder="1" applyAlignment="1">
      <alignment horizontal="right"/>
    </xf>
    <xf numFmtId="164" fontId="7" fillId="0" borderId="0" xfId="0" applyNumberFormat="1" applyFont="1"/>
    <xf numFmtId="0" fontId="15" fillId="0" borderId="0" xfId="0" applyFont="1"/>
    <xf numFmtId="0" fontId="0" fillId="0" borderId="1" xfId="0" applyBorder="1" applyAlignment="1">
      <alignment horizontal="center"/>
    </xf>
    <xf numFmtId="0" fontId="0" fillId="0" borderId="1" xfId="0" applyBorder="1"/>
    <xf numFmtId="0" fontId="28" fillId="0" borderId="0" xfId="0" applyFont="1" applyAlignment="1">
      <alignment horizontal="center"/>
    </xf>
    <xf numFmtId="0" fontId="27" fillId="0" borderId="0" xfId="0" applyFont="1" applyAlignment="1">
      <alignment horizontal="right"/>
    </xf>
    <xf numFmtId="0" fontId="10" fillId="0" borderId="0" xfId="0" applyFont="1" applyAlignment="1">
      <alignment horizontal="left"/>
    </xf>
    <xf numFmtId="0" fontId="22" fillId="0" borderId="0" xfId="0" applyFont="1" applyAlignment="1">
      <alignment horizontal="left"/>
    </xf>
    <xf numFmtId="0" fontId="2" fillId="0" borderId="1" xfId="0" applyFont="1" applyBorder="1" applyAlignment="1">
      <alignment horizontal="center"/>
    </xf>
    <xf numFmtId="0" fontId="3" fillId="0" borderId="16" xfId="0" applyFont="1" applyBorder="1" applyAlignment="1">
      <alignment horizontal="center" shrinkToFit="1"/>
    </xf>
    <xf numFmtId="0" fontId="7" fillId="3" borderId="0" xfId="0" applyFont="1" applyFill="1" applyAlignment="1">
      <alignment horizontal="center"/>
    </xf>
    <xf numFmtId="0" fontId="26" fillId="3" borderId="0" xfId="0" applyFont="1" applyFill="1" applyAlignment="1">
      <alignment horizontal="center"/>
    </xf>
    <xf numFmtId="0" fontId="0" fillId="5" borderId="0" xfId="0" applyFill="1"/>
    <xf numFmtId="0" fontId="3" fillId="5" borderId="0" xfId="0" applyFont="1" applyFill="1"/>
    <xf numFmtId="0" fontId="14" fillId="0" borderId="0" xfId="0" applyFont="1" applyAlignment="1">
      <alignment horizontal="left"/>
    </xf>
    <xf numFmtId="0" fontId="14" fillId="0" borderId="18" xfId="0" applyFont="1" applyBorder="1" applyAlignment="1">
      <alignment horizontal="left"/>
    </xf>
    <xf numFmtId="0" fontId="0" fillId="4" borderId="0" xfId="0" applyFill="1"/>
    <xf numFmtId="0" fontId="0" fillId="0" borderId="0" xfId="0" applyProtection="1">
      <protection locked="0"/>
    </xf>
    <xf numFmtId="0" fontId="3" fillId="0" borderId="9" xfId="0" applyFont="1" applyBorder="1" applyAlignment="1">
      <alignment horizontal="center"/>
    </xf>
    <xf numFmtId="0" fontId="3" fillId="0" borderId="10" xfId="0" applyFont="1" applyBorder="1" applyAlignment="1">
      <alignment horizontal="center"/>
    </xf>
    <xf numFmtId="0" fontId="3" fillId="0" borderId="19" xfId="0" applyFont="1" applyBorder="1" applyAlignment="1">
      <alignment horizontal="center"/>
    </xf>
    <xf numFmtId="0" fontId="3" fillId="0" borderId="11" xfId="0" applyFont="1" applyBorder="1" applyAlignment="1">
      <alignment horizontal="center"/>
    </xf>
    <xf numFmtId="0" fontId="3" fillId="0" borderId="18" xfId="0" applyFont="1" applyBorder="1" applyAlignment="1">
      <alignment horizontal="center"/>
    </xf>
    <xf numFmtId="0" fontId="0" fillId="0" borderId="18" xfId="0" applyBorder="1"/>
    <xf numFmtId="0" fontId="0" fillId="0" borderId="11" xfId="0" applyBorder="1" applyAlignment="1">
      <alignment horizontal="center"/>
    </xf>
    <xf numFmtId="0" fontId="0" fillId="0" borderId="20" xfId="0" applyBorder="1"/>
    <xf numFmtId="0" fontId="22" fillId="0" borderId="21" xfId="0" applyFont="1" applyBorder="1" applyAlignment="1">
      <alignment horizontal="center" shrinkToFit="1"/>
    </xf>
    <xf numFmtId="0" fontId="22" fillId="0" borderId="21" xfId="0" applyFont="1" applyBorder="1" applyAlignment="1">
      <alignment horizontal="center"/>
    </xf>
    <xf numFmtId="0" fontId="0" fillId="0" borderId="21" xfId="0" applyBorder="1" applyAlignment="1">
      <alignment horizontal="center" shrinkToFit="1"/>
    </xf>
    <xf numFmtId="0" fontId="0" fillId="0" borderId="21" xfId="0" applyBorder="1" applyAlignment="1">
      <alignment horizontal="center"/>
    </xf>
    <xf numFmtId="0" fontId="2" fillId="0" borderId="9" xfId="0" applyFont="1" applyBorder="1" applyAlignment="1">
      <alignment horizontal="left"/>
    </xf>
    <xf numFmtId="0" fontId="3" fillId="3" borderId="0" xfId="0" applyFont="1" applyFill="1" applyAlignment="1">
      <alignment horizontal="center" vertical="center" wrapText="1"/>
    </xf>
    <xf numFmtId="0" fontId="1" fillId="0" borderId="0" xfId="0" applyFont="1" applyAlignment="1">
      <alignment horizontal="left"/>
    </xf>
    <xf numFmtId="0" fontId="30" fillId="0" borderId="0" xfId="0" applyFont="1" applyAlignment="1">
      <alignment horizontal="left" vertical="center"/>
    </xf>
    <xf numFmtId="0" fontId="27" fillId="0" borderId="0" xfId="0" applyFont="1"/>
    <xf numFmtId="0" fontId="31" fillId="0" borderId="0" xfId="0" applyFont="1"/>
    <xf numFmtId="0" fontId="31" fillId="0" borderId="0" xfId="0" applyFont="1" applyAlignment="1">
      <alignment horizontal="center"/>
    </xf>
    <xf numFmtId="0" fontId="30" fillId="0" borderId="0" xfId="0" applyFont="1" applyAlignment="1">
      <alignment vertical="center"/>
    </xf>
    <xf numFmtId="0" fontId="23" fillId="0" borderId="0" xfId="0" applyFont="1"/>
    <xf numFmtId="0" fontId="14" fillId="0" borderId="0" xfId="0" applyFont="1" applyProtection="1">
      <protection locked="0"/>
    </xf>
    <xf numFmtId="0" fontId="3" fillId="2" borderId="2" xfId="0" applyFont="1"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2" xfId="0" applyFill="1" applyBorder="1" applyAlignment="1" applyProtection="1">
      <alignment horizontal="center" shrinkToFit="1"/>
      <protection locked="0"/>
    </xf>
    <xf numFmtId="0" fontId="0" fillId="2" borderId="2" xfId="0" applyFill="1" applyBorder="1" applyProtection="1">
      <protection locked="0"/>
    </xf>
    <xf numFmtId="0" fontId="34" fillId="0" borderId="0" xfId="0" applyFont="1" applyAlignment="1">
      <alignment horizontal="center"/>
    </xf>
    <xf numFmtId="0" fontId="34" fillId="0" borderId="0" xfId="0" applyFont="1"/>
    <xf numFmtId="0" fontId="3" fillId="3" borderId="0" xfId="0" applyFont="1" applyFill="1" applyAlignment="1">
      <alignment horizontal="left"/>
    </xf>
    <xf numFmtId="0" fontId="0" fillId="0" borderId="0" xfId="0" applyAlignment="1">
      <alignment wrapText="1"/>
    </xf>
    <xf numFmtId="164" fontId="3" fillId="0" borderId="0" xfId="0" applyNumberFormat="1" applyFont="1" applyAlignment="1">
      <alignment horizontal="left"/>
    </xf>
    <xf numFmtId="164" fontId="3" fillId="0" borderId="0" xfId="0" applyNumberFormat="1" applyFont="1" applyAlignment="1">
      <alignment horizont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7" fillId="3" borderId="0" xfId="0" applyFont="1" applyFill="1" applyAlignment="1">
      <alignment horizontal="right"/>
    </xf>
    <xf numFmtId="0" fontId="9" fillId="0" borderId="0" xfId="0" applyFont="1" applyAlignment="1">
      <alignment horizontal="right"/>
    </xf>
    <xf numFmtId="0" fontId="0" fillId="6" borderId="0" xfId="0" applyFill="1" applyAlignment="1">
      <alignment horizontal="center"/>
    </xf>
    <xf numFmtId="0" fontId="3" fillId="6" borderId="0" xfId="0" applyFont="1" applyFill="1" applyAlignment="1">
      <alignment horizontal="center"/>
    </xf>
    <xf numFmtId="0" fontId="36" fillId="0" borderId="0" xfId="0" applyFont="1" applyAlignment="1">
      <alignment horizontal="right"/>
    </xf>
    <xf numFmtId="0" fontId="6" fillId="0" borderId="0" xfId="0" applyFont="1" applyAlignment="1">
      <alignment horizontal="center"/>
    </xf>
    <xf numFmtId="0" fontId="6" fillId="0" borderId="0" xfId="0" applyFont="1" applyAlignment="1">
      <alignment horizontal="right"/>
    </xf>
    <xf numFmtId="0" fontId="35" fillId="0" borderId="0" xfId="0" applyFont="1" applyAlignment="1">
      <alignment horizontal="right"/>
    </xf>
    <xf numFmtId="0" fontId="29" fillId="0" borderId="0" xfId="0" applyFont="1" applyAlignment="1">
      <alignment horizontal="left"/>
    </xf>
    <xf numFmtId="0" fontId="13" fillId="0" borderId="0" xfId="0" applyFont="1" applyAlignment="1">
      <alignment horizontal="right"/>
    </xf>
    <xf numFmtId="0" fontId="37" fillId="0" borderId="0" xfId="0" applyFont="1" applyAlignment="1">
      <alignment horizontal="right"/>
    </xf>
    <xf numFmtId="0" fontId="32" fillId="0" borderId="0" xfId="0" applyFont="1" applyAlignment="1">
      <alignment horizontal="center"/>
    </xf>
    <xf numFmtId="0" fontId="32" fillId="0" borderId="0" xfId="0" applyFont="1" applyAlignment="1">
      <alignment horizontal="right"/>
    </xf>
    <xf numFmtId="0" fontId="3" fillId="0" borderId="0" xfId="0" applyFont="1" applyAlignment="1">
      <alignment horizontal="right" vertical="center"/>
    </xf>
    <xf numFmtId="0" fontId="11" fillId="0" borderId="0" xfId="0" applyFont="1" applyAlignment="1">
      <alignment horizontal="right" vertical="center"/>
    </xf>
    <xf numFmtId="0" fontId="15" fillId="0" borderId="0" xfId="0" applyFont="1" applyAlignment="1">
      <alignment horizontal="center"/>
    </xf>
    <xf numFmtId="0" fontId="15" fillId="0" borderId="0" xfId="0" applyFont="1" applyAlignment="1">
      <alignment horizontal="right"/>
    </xf>
    <xf numFmtId="0" fontId="33" fillId="0" borderId="0" xfId="0" applyFont="1" applyAlignment="1">
      <alignment horizontal="center"/>
    </xf>
    <xf numFmtId="0" fontId="33" fillId="0" borderId="0" xfId="0" applyFont="1" applyAlignment="1">
      <alignment horizontal="right"/>
    </xf>
    <xf numFmtId="0" fontId="38" fillId="0" borderId="0" xfId="0" applyFont="1" applyAlignment="1">
      <alignment horizontal="right"/>
    </xf>
    <xf numFmtId="0" fontId="18" fillId="2" borderId="2" xfId="0" applyFont="1" applyFill="1" applyBorder="1" applyProtection="1">
      <protection locked="0"/>
    </xf>
    <xf numFmtId="0" fontId="0" fillId="0" borderId="0" xfId="0" applyAlignment="1">
      <alignment vertical="center"/>
    </xf>
    <xf numFmtId="0" fontId="39" fillId="0" borderId="0" xfId="0" applyFont="1" applyAlignment="1">
      <alignment horizontal="center"/>
    </xf>
    <xf numFmtId="164" fontId="1" fillId="0" borderId="0" xfId="0" applyNumberFormat="1" applyFont="1" applyAlignment="1">
      <alignment horizontal="center"/>
    </xf>
    <xf numFmtId="0" fontId="24" fillId="3" borderId="0" xfId="0" applyFont="1" applyFill="1" applyAlignment="1">
      <alignment horizontal="center"/>
    </xf>
    <xf numFmtId="0" fontId="10" fillId="0" borderId="0" xfId="0" applyFont="1" applyAlignment="1">
      <alignment horizontal="right"/>
    </xf>
    <xf numFmtId="0" fontId="40" fillId="3" borderId="0" xfId="0" applyFont="1" applyFill="1" applyAlignment="1">
      <alignment vertical="center"/>
    </xf>
    <xf numFmtId="0" fontId="0" fillId="3" borderId="0" xfId="0" applyFill="1" applyAlignment="1">
      <alignment vertical="center"/>
    </xf>
    <xf numFmtId="165" fontId="7" fillId="0" borderId="0" xfId="0" applyNumberFormat="1" applyFont="1" applyAlignment="1">
      <alignment horizontal="left"/>
    </xf>
    <xf numFmtId="0" fontId="7" fillId="0" borderId="0" xfId="0" applyFont="1" applyAlignment="1">
      <alignment horizontal="right" vertical="center" wrapText="1"/>
    </xf>
    <xf numFmtId="165" fontId="7" fillId="0" borderId="0" xfId="0" applyNumberFormat="1" applyFont="1" applyAlignment="1">
      <alignment horizontal="left" vertical="center" wrapText="1"/>
    </xf>
    <xf numFmtId="0" fontId="1" fillId="3" borderId="0" xfId="0" applyFont="1" applyFill="1"/>
    <xf numFmtId="165" fontId="7" fillId="0" borderId="0" xfId="0" applyNumberFormat="1" applyFont="1" applyAlignment="1">
      <alignment horizontal="center"/>
    </xf>
    <xf numFmtId="165" fontId="7" fillId="0" borderId="0" xfId="0" applyNumberFormat="1" applyFont="1"/>
    <xf numFmtId="0" fontId="24" fillId="6" borderId="0" xfId="0" applyFont="1" applyFill="1" applyAlignment="1">
      <alignment horizontal="center"/>
    </xf>
    <xf numFmtId="0" fontId="2" fillId="0" borderId="9" xfId="0" applyFont="1" applyBorder="1"/>
    <xf numFmtId="0" fontId="41" fillId="0" borderId="0" xfId="0" applyFont="1" applyAlignment="1">
      <alignment horizontal="center"/>
    </xf>
    <xf numFmtId="165" fontId="4" fillId="0" borderId="0" xfId="0" applyNumberFormat="1" applyFont="1" applyAlignment="1">
      <alignment horizontal="center"/>
    </xf>
    <xf numFmtId="0" fontId="14" fillId="0" borderId="0" xfId="0" applyFont="1" applyAlignment="1">
      <alignment vertical="center" wrapText="1"/>
    </xf>
    <xf numFmtId="0" fontId="40" fillId="0" borderId="0" xfId="0" applyFont="1"/>
    <xf numFmtId="0" fontId="41" fillId="3" borderId="0" xfId="0" applyFont="1" applyFill="1"/>
    <xf numFmtId="0" fontId="41" fillId="0" borderId="0" xfId="0" applyFont="1"/>
    <xf numFmtId="0" fontId="42" fillId="3" borderId="0" xfId="0" applyFont="1" applyFill="1"/>
    <xf numFmtId="2" fontId="41" fillId="0" borderId="0" xfId="0" applyNumberFormat="1" applyFont="1"/>
    <xf numFmtId="0" fontId="41" fillId="0" borderId="0" xfId="0" applyFont="1" applyAlignment="1">
      <alignment vertical="center" wrapText="1"/>
    </xf>
    <xf numFmtId="0" fontId="0" fillId="7" borderId="0" xfId="0" applyFill="1"/>
    <xf numFmtId="165" fontId="7" fillId="0" borderId="2" xfId="0" applyNumberFormat="1" applyFont="1" applyBorder="1" applyAlignment="1">
      <alignment horizontal="center" shrinkToFit="1"/>
    </xf>
    <xf numFmtId="165" fontId="7" fillId="0" borderId="2" xfId="0" applyNumberFormat="1" applyFont="1" applyBorder="1" applyAlignment="1">
      <alignment horizontal="center"/>
    </xf>
    <xf numFmtId="0" fontId="13" fillId="0" borderId="0" xfId="0" applyFont="1" applyAlignment="1">
      <alignment horizontal="left" vertical="center"/>
    </xf>
    <xf numFmtId="16" fontId="1" fillId="0" borderId="0" xfId="0" applyNumberFormat="1" applyFont="1"/>
    <xf numFmtId="0" fontId="0" fillId="2" borderId="2" xfId="0" applyFill="1" applyBorder="1" applyAlignment="1" applyProtection="1">
      <alignment horizontal="left" shrinkToFit="1"/>
      <protection locked="0"/>
    </xf>
    <xf numFmtId="4" fontId="0" fillId="0" borderId="0" xfId="0" applyNumberFormat="1"/>
    <xf numFmtId="0" fontId="8" fillId="0" borderId="0" xfId="0" applyFont="1" applyAlignment="1">
      <alignment horizontal="center"/>
    </xf>
    <xf numFmtId="49" fontId="0" fillId="0" borderId="1" xfId="0" applyNumberFormat="1" applyBorder="1"/>
    <xf numFmtId="49" fontId="3" fillId="0" borderId="0" xfId="0" applyNumberFormat="1" applyFont="1"/>
    <xf numFmtId="49" fontId="0" fillId="0" borderId="0" xfId="0" applyNumberFormat="1" applyAlignment="1">
      <alignment horizontal="center"/>
    </xf>
    <xf numFmtId="0" fontId="0" fillId="0" borderId="9" xfId="0" applyBorder="1" applyAlignment="1">
      <alignment horizontal="center"/>
    </xf>
    <xf numFmtId="49" fontId="0" fillId="0" borderId="11" xfId="0" applyNumberFormat="1" applyBorder="1" applyAlignment="1">
      <alignment horizontal="center"/>
    </xf>
    <xf numFmtId="49" fontId="0" fillId="0" borderId="12" xfId="0" applyNumberFormat="1" applyBorder="1" applyAlignment="1">
      <alignment horizontal="center"/>
    </xf>
    <xf numFmtId="49" fontId="3" fillId="0" borderId="0" xfId="0" applyNumberFormat="1" applyFont="1" applyAlignment="1">
      <alignment horizontal="center"/>
    </xf>
    <xf numFmtId="0" fontId="0" fillId="0" borderId="10" xfId="0" applyBorder="1"/>
    <xf numFmtId="0" fontId="0" fillId="0" borderId="19" xfId="0" applyBorder="1"/>
    <xf numFmtId="0" fontId="1" fillId="0" borderId="1" xfId="0" applyFont="1" applyBorder="1" applyAlignment="1">
      <alignment horizontal="center"/>
    </xf>
    <xf numFmtId="0" fontId="1" fillId="0" borderId="0" xfId="0" applyFont="1" applyAlignment="1">
      <alignment horizontal="center" vertical="center" wrapText="1"/>
    </xf>
    <xf numFmtId="0" fontId="0" fillId="0" borderId="0" xfId="0" quotePrefix="1" applyAlignment="1">
      <alignment horizontal="left"/>
    </xf>
    <xf numFmtId="0" fontId="0" fillId="0" borderId="0" xfId="0" quotePrefix="1" applyProtection="1">
      <protection locked="0"/>
    </xf>
    <xf numFmtId="165" fontId="20" fillId="0" borderId="0" xfId="0" applyNumberFormat="1" applyFont="1" applyAlignment="1">
      <alignment horizontal="left"/>
    </xf>
    <xf numFmtId="1" fontId="13" fillId="0" borderId="0" xfId="0" applyNumberFormat="1" applyFont="1" applyAlignment="1">
      <alignment horizontal="center"/>
    </xf>
    <xf numFmtId="2" fontId="11" fillId="0" borderId="0" xfId="0" applyNumberFormat="1" applyFont="1" applyAlignment="1">
      <alignment horizontal="center"/>
    </xf>
    <xf numFmtId="1" fontId="11" fillId="0" borderId="0" xfId="0" applyNumberFormat="1" applyFont="1" applyAlignment="1">
      <alignment horizontal="center"/>
    </xf>
    <xf numFmtId="0" fontId="41" fillId="0" borderId="0" xfId="0" applyFont="1" applyAlignment="1">
      <alignment horizontal="right"/>
    </xf>
    <xf numFmtId="0" fontId="11" fillId="3" borderId="0" xfId="0" applyFont="1" applyFill="1" applyAlignment="1">
      <alignment horizontal="center"/>
    </xf>
    <xf numFmtId="0" fontId="11" fillId="3" borderId="0" xfId="0" applyFont="1" applyFill="1" applyAlignment="1">
      <alignment horizontal="right"/>
    </xf>
    <xf numFmtId="16" fontId="43" fillId="0" borderId="0" xfId="0" applyNumberFormat="1" applyFont="1"/>
    <xf numFmtId="2" fontId="13" fillId="0" borderId="0" xfId="0" applyNumberFormat="1" applyFont="1" applyAlignment="1">
      <alignment horizontal="center"/>
    </xf>
    <xf numFmtId="0" fontId="44" fillId="0" borderId="0" xfId="0" applyFont="1" applyAlignment="1">
      <alignment horizontal="left"/>
    </xf>
    <xf numFmtId="0" fontId="25" fillId="0" borderId="0" xfId="0" applyFont="1" applyAlignment="1">
      <alignment horizontal="left"/>
    </xf>
    <xf numFmtId="0" fontId="13" fillId="0" borderId="0" xfId="0" applyFont="1"/>
    <xf numFmtId="0" fontId="45" fillId="6" borderId="0" xfId="0" applyFont="1" applyFill="1" applyAlignment="1">
      <alignment horizontal="left"/>
    </xf>
    <xf numFmtId="14" fontId="43" fillId="0" borderId="0" xfId="0" applyNumberFormat="1" applyFont="1" applyAlignment="1">
      <alignment horizontal="right"/>
    </xf>
    <xf numFmtId="0" fontId="46" fillId="0" borderId="0" xfId="1" applyAlignment="1">
      <alignment horizontal="left"/>
    </xf>
    <xf numFmtId="0" fontId="47" fillId="0" borderId="0" xfId="1" applyFont="1" applyAlignment="1">
      <alignment horizontal="center"/>
    </xf>
    <xf numFmtId="0" fontId="46" fillId="0" borderId="0" xfId="1" applyAlignment="1">
      <alignment horizontal="center"/>
    </xf>
    <xf numFmtId="166" fontId="46" fillId="0" borderId="0" xfId="1" applyNumberFormat="1" applyAlignment="1">
      <alignment horizontal="center"/>
    </xf>
    <xf numFmtId="4" fontId="46" fillId="0" borderId="0" xfId="1" applyNumberFormat="1" applyAlignment="1">
      <alignment horizontal="center"/>
    </xf>
    <xf numFmtId="4" fontId="1" fillId="0" borderId="0" xfId="1" applyNumberFormat="1" applyFont="1" applyAlignment="1">
      <alignment horizontal="center"/>
    </xf>
    <xf numFmtId="0" fontId="0" fillId="0" borderId="4" xfId="0" applyBorder="1" applyAlignment="1">
      <alignment horizontal="center"/>
    </xf>
    <xf numFmtId="0" fontId="0" fillId="0" borderId="0" xfId="0" applyAlignment="1">
      <alignment horizontal="center"/>
    </xf>
    <xf numFmtId="0" fontId="24" fillId="6" borderId="0" xfId="0" applyFont="1" applyFill="1" applyAlignment="1">
      <alignment horizontal="center"/>
    </xf>
    <xf numFmtId="0" fontId="14" fillId="0" borderId="0" xfId="0" applyFont="1" applyAlignment="1">
      <alignment horizontal="center" vertical="center"/>
    </xf>
  </cellXfs>
  <cellStyles count="2">
    <cellStyle name="Normal" xfId="0" builtinId="0"/>
    <cellStyle name="Normal 2" xfId="1" xr:uid="{5CE88919-6AA9-4693-B9E8-D0C4E8DB7F68}"/>
  </cellStyles>
  <dxfs count="256">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theme="0" tint="-4.9989318521683403E-2"/>
        </patternFill>
      </fill>
      <border>
        <left style="thin">
          <color auto="1"/>
        </left>
        <right style="thin">
          <color auto="1"/>
        </right>
        <top style="thin">
          <color auto="1"/>
        </top>
        <bottom style="thin">
          <color auto="1"/>
        </bottom>
        <vertical/>
        <horizontal/>
      </border>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font>
    </dxf>
    <dxf>
      <fill>
        <patternFill>
          <bgColor theme="0" tint="-4.9989318521683403E-2"/>
        </patternFill>
      </fill>
      <border>
        <left style="thin">
          <color auto="1"/>
        </left>
        <right style="thin">
          <color auto="1"/>
        </right>
        <top style="thin">
          <color auto="1"/>
        </top>
        <bottom style="thin">
          <color auto="1"/>
        </bottom>
      </border>
    </dxf>
    <dxf>
      <font>
        <color theme="0" tint="-0.24994659260841701"/>
      </font>
    </dxf>
    <dxf>
      <font>
        <color theme="0" tint="-0.24994659260841701"/>
      </font>
    </dxf>
    <dxf>
      <fill>
        <patternFill patternType="solid">
          <bgColor theme="0" tint="-4.9989318521683403E-2"/>
        </patternFill>
      </fill>
      <border>
        <left style="thin">
          <color auto="1"/>
        </left>
        <right style="thin">
          <color auto="1"/>
        </right>
        <top style="thin">
          <color auto="1"/>
        </top>
        <bottom style="thin">
          <color auto="1"/>
        </bottom>
        <vertical/>
        <horizontal/>
      </border>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auto="1"/>
      </font>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patternType="none">
          <bgColor auto="1"/>
        </patternFill>
      </fill>
    </dxf>
    <dxf>
      <fill>
        <patternFill>
          <bgColor theme="0" tint="-4.9989318521683403E-2"/>
        </patternFill>
      </fill>
      <border>
        <left style="thin">
          <color auto="1"/>
        </left>
        <right style="thin">
          <color auto="1"/>
        </right>
        <top style="thin">
          <color auto="1"/>
        </top>
        <bottom style="thin">
          <color auto="1"/>
        </bottom>
      </border>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theme="0" tint="-4.9989318521683403E-2"/>
        </patternFill>
      </fill>
      <border>
        <left style="thin">
          <color auto="1"/>
        </left>
        <right style="thin">
          <color auto="1"/>
        </right>
        <top style="thin">
          <color auto="1"/>
        </top>
        <bottom style="thin">
          <color auto="1"/>
        </bottom>
      </border>
    </dxf>
    <dxf>
      <font>
        <color auto="1"/>
      </font>
      <fill>
        <patternFill>
          <bgColor theme="0" tint="-4.9989318521683403E-2"/>
        </patternFill>
      </fill>
      <border>
        <left style="thin">
          <color auto="1"/>
        </left>
        <right style="thin">
          <color auto="1"/>
        </right>
        <top style="thin">
          <color auto="1"/>
        </top>
        <bottom style="thin">
          <color auto="1"/>
        </bottom>
      </border>
    </dxf>
    <dxf>
      <font>
        <color auto="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rgb="FF9C0006"/>
      </font>
      <fill>
        <patternFill>
          <bgColor rgb="FFFFC7CE"/>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patternType="solid">
          <fgColor rgb="FFFF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603739</xdr:colOff>
      <xdr:row>0</xdr:row>
      <xdr:rowOff>298938</xdr:rowOff>
    </xdr:from>
    <xdr:to>
      <xdr:col>2</xdr:col>
      <xdr:colOff>275493</xdr:colOff>
      <xdr:row>1</xdr:row>
      <xdr:rowOff>46892</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a:off x="967154" y="298938"/>
          <a:ext cx="281354" cy="1524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1723293</xdr:colOff>
      <xdr:row>0</xdr:row>
      <xdr:rowOff>293077</xdr:rowOff>
    </xdr:from>
    <xdr:to>
      <xdr:col>3</xdr:col>
      <xdr:colOff>111370</xdr:colOff>
      <xdr:row>2</xdr:row>
      <xdr:rowOff>117231</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H="1">
          <a:off x="2696308" y="293077"/>
          <a:ext cx="216877" cy="422031"/>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244134</xdr:colOff>
      <xdr:row>5</xdr:row>
      <xdr:rowOff>173795</xdr:rowOff>
    </xdr:from>
    <xdr:to>
      <xdr:col>1</xdr:col>
      <xdr:colOff>97596</xdr:colOff>
      <xdr:row>7</xdr:row>
      <xdr:rowOff>103602</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a:off x="244134" y="1372213"/>
          <a:ext cx="220607" cy="338516"/>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editAs="oneCell">
    <xdr:from>
      <xdr:col>203</xdr:col>
      <xdr:colOff>158750</xdr:colOff>
      <xdr:row>0</xdr:row>
      <xdr:rowOff>38100</xdr:rowOff>
    </xdr:from>
    <xdr:to>
      <xdr:col>203</xdr:col>
      <xdr:colOff>1295400</xdr:colOff>
      <xdr:row>1</xdr:row>
      <xdr:rowOff>134845</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517800" y="38100"/>
          <a:ext cx="1136650" cy="503145"/>
        </a:xfrm>
        <a:prstGeom prst="rect">
          <a:avLst/>
        </a:prstGeom>
        <a:effectLst/>
      </xdr:spPr>
    </xdr:pic>
    <xdr:clientData/>
  </xdr:twoCellAnchor>
  <xdr:twoCellAnchor editAs="oneCell">
    <xdr:from>
      <xdr:col>4</xdr:col>
      <xdr:colOff>209549</xdr:colOff>
      <xdr:row>2</xdr:row>
      <xdr:rowOff>6350</xdr:rowOff>
    </xdr:from>
    <xdr:to>
      <xdr:col>4</xdr:col>
      <xdr:colOff>1428894</xdr:colOff>
      <xdr:row>4</xdr:row>
      <xdr:rowOff>173990</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0222" y="602095"/>
          <a:ext cx="1219345" cy="562495"/>
        </a:xfrm>
        <a:prstGeom prst="rect">
          <a:avLst/>
        </a:prstGeom>
        <a:effec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H1471"/>
  <sheetViews>
    <sheetView showRowColHeaders="0" tabSelected="1" zoomScale="110" zoomScaleNormal="110" workbookViewId="0">
      <selection activeCell="G9" sqref="G9"/>
    </sheetView>
  </sheetViews>
  <sheetFormatPr defaultRowHeight="14.4" x14ac:dyDescent="0.3"/>
  <cols>
    <col min="1" max="1" width="5.33203125" customWidth="1"/>
    <col min="3" max="3" width="26.6640625" customWidth="1"/>
    <col min="4" max="4" width="12.33203125" customWidth="1"/>
    <col min="5" max="5" width="25.109375" customWidth="1"/>
    <col min="6" max="6" width="10.6640625" customWidth="1"/>
    <col min="7" max="7" width="30.33203125" customWidth="1"/>
    <col min="8" max="8" width="10" customWidth="1"/>
    <col min="9" max="9" width="9.33203125" customWidth="1"/>
    <col min="10" max="10" width="8.33203125" customWidth="1"/>
    <col min="11" max="11" width="20" customWidth="1"/>
    <col min="12" max="12" width="10.88671875" customWidth="1"/>
    <col min="14" max="14" width="8.88671875" customWidth="1"/>
    <col min="15" max="17" width="8.88671875" style="193" hidden="1" customWidth="1"/>
    <col min="18" max="26" width="8.88671875" hidden="1" customWidth="1"/>
    <col min="27" max="27" width="14.33203125" hidden="1" customWidth="1"/>
    <col min="28" max="28" width="9.6640625" hidden="1" customWidth="1"/>
    <col min="29" max="29" width="10" hidden="1" customWidth="1"/>
    <col min="30" max="30" width="8.88671875" hidden="1" customWidth="1"/>
    <col min="31" max="32" width="15.6640625" hidden="1" customWidth="1"/>
    <col min="33" max="33" width="27.33203125" hidden="1" customWidth="1"/>
    <col min="34" max="34" width="8.88671875" style="13" hidden="1" customWidth="1"/>
    <col min="35" max="35" width="18.33203125" style="13" hidden="1" customWidth="1"/>
    <col min="36" max="36" width="13.5546875" hidden="1" customWidth="1"/>
    <col min="37" max="37" width="23.33203125" hidden="1" customWidth="1"/>
    <col min="38" max="38" width="5.33203125" hidden="1" customWidth="1"/>
    <col min="39" max="39" width="18" hidden="1" customWidth="1"/>
    <col min="40" max="43" width="8.88671875" hidden="1" customWidth="1"/>
    <col min="44" max="45" width="13.5546875" hidden="1" customWidth="1"/>
    <col min="46" max="46" width="17.5546875" hidden="1" customWidth="1"/>
    <col min="47" max="59" width="13.5546875" hidden="1" customWidth="1"/>
    <col min="60" max="60" width="8.88671875" hidden="1" customWidth="1"/>
    <col min="61" max="61" width="29.33203125" hidden="1" customWidth="1"/>
    <col min="62" max="63" width="24.33203125" hidden="1" customWidth="1"/>
    <col min="64" max="64" width="27" hidden="1" customWidth="1"/>
    <col min="65" max="65" width="23.33203125" hidden="1" customWidth="1"/>
    <col min="66" max="67" width="8.88671875" hidden="1" customWidth="1"/>
    <col min="68" max="68" width="16.33203125" hidden="1" customWidth="1"/>
    <col min="69" max="69" width="3" hidden="1" customWidth="1"/>
    <col min="70" max="70" width="23.6640625" hidden="1" customWidth="1"/>
    <col min="71" max="71" width="26.6640625" hidden="1" customWidth="1"/>
    <col min="72" max="72" width="11.88671875" hidden="1" customWidth="1"/>
    <col min="73" max="73" width="4.33203125" hidden="1" customWidth="1"/>
    <col min="74" max="74" width="8.88671875" hidden="1" customWidth="1"/>
    <col min="75" max="75" width="26.6640625" hidden="1" customWidth="1"/>
    <col min="76" max="76" width="8.88671875" hidden="1" customWidth="1"/>
    <col min="77" max="77" width="3.6640625" hidden="1" customWidth="1"/>
    <col min="78" max="78" width="8.88671875" hidden="1" customWidth="1"/>
    <col min="79" max="79" width="30.88671875" hidden="1" customWidth="1"/>
    <col min="80" max="80" width="8.88671875" hidden="1" customWidth="1"/>
    <col min="81" max="81" width="4.6640625" hidden="1" customWidth="1"/>
    <col min="82" max="82" width="8.88671875" hidden="1" customWidth="1"/>
    <col min="83" max="83" width="26.6640625" hidden="1" customWidth="1"/>
    <col min="84" max="84" width="8.44140625" style="13" hidden="1" customWidth="1"/>
    <col min="85" max="85" width="16.5546875" style="13" hidden="1" customWidth="1"/>
    <col min="86" max="86" width="21.88671875" style="13" hidden="1" customWidth="1"/>
    <col min="87" max="88" width="16.5546875" style="13" hidden="1" customWidth="1"/>
    <col min="89" max="89" width="21.88671875" style="13" hidden="1" customWidth="1"/>
    <col min="90" max="90" width="16.5546875" style="13" hidden="1" customWidth="1"/>
    <col min="91" max="91" width="18.33203125" style="13" hidden="1" customWidth="1"/>
    <col min="92" max="92" width="22" style="13" hidden="1" customWidth="1"/>
    <col min="93" max="93" width="17.44140625" style="13" hidden="1" customWidth="1"/>
    <col min="94" max="94" width="14.88671875" style="13" hidden="1" customWidth="1"/>
    <col min="95" max="95" width="5.33203125" style="13" hidden="1" customWidth="1"/>
    <col min="96" max="96" width="28.6640625" style="14" hidden="1" customWidth="1"/>
    <col min="97" max="97" width="14.88671875" style="15" hidden="1" customWidth="1"/>
    <col min="98" max="98" width="5.88671875" style="13" hidden="1" customWidth="1"/>
    <col min="99" max="99" width="14.33203125" style="13" hidden="1" customWidth="1"/>
    <col min="100" max="102" width="16.5546875" style="13" hidden="1" customWidth="1"/>
    <col min="103" max="103" width="13.6640625" style="13" hidden="1" customWidth="1"/>
    <col min="104" max="104" width="12.88671875" style="13" hidden="1" customWidth="1"/>
    <col min="105" max="105" width="16.5546875" style="13" hidden="1" customWidth="1"/>
    <col min="106" max="106" width="11.109375" style="13" hidden="1" customWidth="1"/>
    <col min="107" max="107" width="15.33203125" style="16" hidden="1" customWidth="1"/>
    <col min="108" max="108" width="16.5546875" hidden="1" customWidth="1"/>
    <col min="109" max="109" width="21.5546875" hidden="1" customWidth="1"/>
    <col min="110" max="111" width="14.33203125" hidden="1" customWidth="1"/>
    <col min="112" max="112" width="14.109375" hidden="1" customWidth="1"/>
    <col min="113" max="113" width="12.6640625" hidden="1" customWidth="1"/>
    <col min="114" max="114" width="13.33203125" style="13" hidden="1" customWidth="1"/>
    <col min="115" max="117" width="12.88671875" hidden="1" customWidth="1"/>
    <col min="118" max="120" width="9.88671875" hidden="1" customWidth="1"/>
    <col min="121" max="121" width="8.88671875" hidden="1" customWidth="1"/>
    <col min="122" max="122" width="18.33203125" hidden="1" customWidth="1"/>
    <col min="123" max="123" width="8.88671875" style="10" hidden="1" customWidth="1"/>
    <col min="124" max="126" width="8.88671875" hidden="1" customWidth="1"/>
    <col min="127" max="127" width="33.33203125" hidden="1" customWidth="1"/>
    <col min="128" max="128" width="8.88671875" style="10" hidden="1" customWidth="1"/>
    <col min="129" max="132" width="8.88671875" hidden="1" customWidth="1"/>
    <col min="133" max="133" width="17.109375" hidden="1" customWidth="1"/>
    <col min="134" max="134" width="8.109375" hidden="1" customWidth="1"/>
    <col min="135" max="135" width="4.6640625" hidden="1" customWidth="1"/>
    <col min="136" max="136" width="23.33203125" hidden="1" customWidth="1"/>
    <col min="137" max="138" width="21.5546875" hidden="1" customWidth="1"/>
    <col min="139" max="140" width="23.33203125" hidden="1" customWidth="1"/>
    <col min="141" max="141" width="25.44140625" hidden="1" customWidth="1"/>
    <col min="142" max="142" width="13.44140625" hidden="1" customWidth="1"/>
    <col min="143" max="143" width="21.5546875" hidden="1" customWidth="1"/>
    <col min="144" max="144" width="23.33203125" hidden="1" customWidth="1"/>
    <col min="145" max="145" width="23.6640625" hidden="1" customWidth="1"/>
    <col min="146" max="146" width="23.33203125" hidden="1" customWidth="1"/>
    <col min="147" max="148" width="16.109375" hidden="1" customWidth="1"/>
    <col min="149" max="149" width="22.6640625" hidden="1" customWidth="1"/>
    <col min="150" max="150" width="11.6640625" hidden="1" customWidth="1"/>
    <col min="151" max="151" width="10.33203125" hidden="1" customWidth="1"/>
    <col min="152" max="152" width="8.44140625" hidden="1" customWidth="1"/>
    <col min="153" max="156" width="6.33203125" hidden="1" customWidth="1"/>
    <col min="157" max="157" width="14.6640625" style="4" hidden="1" customWidth="1"/>
    <col min="158" max="158" width="24.6640625" hidden="1" customWidth="1"/>
    <col min="159" max="159" width="14.44140625" style="13" hidden="1" customWidth="1"/>
    <col min="160" max="160" width="19.44140625" hidden="1" customWidth="1"/>
    <col min="161" max="161" width="21.33203125" hidden="1" customWidth="1"/>
    <col min="162" max="162" width="12.88671875" hidden="1" customWidth="1"/>
    <col min="163" max="163" width="16.5546875" hidden="1" customWidth="1"/>
    <col min="164" max="164" width="21.33203125" hidden="1" customWidth="1"/>
    <col min="165" max="165" width="18.6640625" hidden="1" customWidth="1"/>
    <col min="166" max="166" width="17.33203125" hidden="1" customWidth="1"/>
    <col min="167" max="167" width="6.33203125" hidden="1" customWidth="1"/>
    <col min="168" max="169" width="8.88671875" hidden="1" customWidth="1"/>
    <col min="170" max="170" width="15.44140625" hidden="1" customWidth="1"/>
    <col min="171" max="171" width="11.44140625" hidden="1" customWidth="1"/>
    <col min="172" max="172" width="21.6640625" hidden="1" customWidth="1"/>
    <col min="173" max="173" width="9.33203125" hidden="1" customWidth="1"/>
    <col min="174" max="174" width="30.44140625" hidden="1" customWidth="1"/>
    <col min="175" max="176" width="8.88671875" hidden="1" customWidth="1"/>
    <col min="177" max="177" width="26.6640625" hidden="1" customWidth="1"/>
    <col min="178" max="178" width="11.33203125" hidden="1" customWidth="1"/>
    <col min="179" max="179" width="13.44140625" hidden="1" customWidth="1"/>
    <col min="180" max="180" width="18.33203125" hidden="1" customWidth="1"/>
    <col min="181" max="181" width="8.88671875" hidden="1" customWidth="1"/>
    <col min="182" max="182" width="15.33203125" hidden="1" customWidth="1"/>
    <col min="183" max="183" width="8.88671875" hidden="1" customWidth="1"/>
    <col min="184" max="184" width="15.5546875" hidden="1" customWidth="1"/>
    <col min="185" max="185" width="16.5546875" hidden="1" customWidth="1"/>
    <col min="186" max="192" width="18.33203125" hidden="1" customWidth="1"/>
    <col min="193" max="193" width="19.6640625" customWidth="1"/>
    <col min="194" max="194" width="22.44140625" bestFit="1" customWidth="1"/>
    <col min="195" max="195" width="26.109375" bestFit="1" customWidth="1"/>
    <col min="196" max="196" width="17" bestFit="1" customWidth="1"/>
    <col min="201" max="201" width="20.33203125" customWidth="1"/>
    <col min="202" max="202" width="22.6640625" style="13" customWidth="1"/>
    <col min="203" max="214" width="20.6640625" style="13" customWidth="1"/>
  </cols>
  <sheetData>
    <row r="1" spans="1:215" ht="31.95" customHeight="1" x14ac:dyDescent="0.65">
      <c r="B1" s="72" t="s">
        <v>0</v>
      </c>
      <c r="C1" s="115"/>
      <c r="G1" s="11"/>
      <c r="I1" s="133"/>
      <c r="K1" s="14"/>
      <c r="L1" s="241" t="s">
        <v>1</v>
      </c>
      <c r="O1" s="194" t="s">
        <v>2</v>
      </c>
      <c r="P1" s="192"/>
      <c r="Q1" s="192"/>
      <c r="R1" s="81"/>
      <c r="S1" s="87" t="s">
        <v>3</v>
      </c>
      <c r="T1" s="81"/>
      <c r="U1" s="179"/>
      <c r="V1" s="178"/>
      <c r="W1" s="81"/>
      <c r="X1" s="81"/>
      <c r="Y1" s="81"/>
      <c r="Z1" s="81"/>
      <c r="AA1" s="81"/>
      <c r="AB1" s="81"/>
      <c r="AC1" s="81"/>
      <c r="AD1" s="81"/>
      <c r="AE1" s="81"/>
      <c r="AF1" s="81"/>
      <c r="AG1" s="86" t="s">
        <v>4</v>
      </c>
      <c r="AH1" s="25" t="s">
        <v>5</v>
      </c>
      <c r="AI1" s="25" t="s">
        <v>5</v>
      </c>
      <c r="AJ1" s="81" t="s">
        <v>6</v>
      </c>
      <c r="AK1" s="81"/>
      <c r="AL1" s="81"/>
      <c r="AM1" s="81" t="s">
        <v>7</v>
      </c>
      <c r="AN1" s="81"/>
      <c r="AO1" s="81"/>
      <c r="AP1" s="81"/>
      <c r="AQ1" s="81"/>
      <c r="AR1" s="81"/>
      <c r="AS1" s="81"/>
      <c r="AT1" s="230" t="s">
        <v>8</v>
      </c>
      <c r="AU1" s="154"/>
      <c r="AV1" s="154"/>
      <c r="AW1" s="154"/>
      <c r="AX1" s="154"/>
      <c r="AY1" s="154"/>
      <c r="AZ1" s="154"/>
      <c r="BA1" s="154"/>
      <c r="BB1" s="154"/>
      <c r="BC1" s="154" t="s">
        <v>9</v>
      </c>
      <c r="BD1" s="154"/>
      <c r="BE1" s="154"/>
      <c r="BF1" s="154"/>
      <c r="BG1" s="81"/>
      <c r="BH1" s="81"/>
      <c r="BI1" s="94">
        <f>IF(BI2&lt;&gt;$C$2,0,IF(ISERROR(MATCH($C$3,BI3:BI54,0))=FALSE,0,1))</f>
        <v>0</v>
      </c>
      <c r="BJ1" s="94">
        <f>IF(BJ2&lt;&gt;$C$2,0,IF(ISERROR(MATCH($C$3,BJ3:BJ29,0))=FALSE,0,1))</f>
        <v>0</v>
      </c>
      <c r="BK1" s="94">
        <f>IF(BK2&lt;&gt;$C$2,0,IF(ISERROR(MATCH($C$3,BK3:BK30,0))=FALSE,0,1))</f>
        <v>0</v>
      </c>
      <c r="BL1" s="94">
        <f>IF(BL2&lt;&gt;$C$2,0,IF(ISERROR(MATCH($C$3,BL3:BL24,0))=FALSE,0,1))</f>
        <v>0</v>
      </c>
      <c r="BM1" s="94">
        <f>IF(BM2&lt;&gt;$C$2,0,IF(ISERROR(MATCH($C$3,BM3:BM31,0))=FALSE,0,1))</f>
        <v>0</v>
      </c>
      <c r="BN1" s="95">
        <f>SUM(BI1:BM1)</f>
        <v>0</v>
      </c>
      <c r="BO1" s="81"/>
      <c r="BP1" s="87" t="s">
        <v>10</v>
      </c>
      <c r="BQ1" s="87"/>
      <c r="BR1" s="81"/>
      <c r="BS1" s="81" t="s">
        <v>11</v>
      </c>
      <c r="BT1" s="81"/>
      <c r="BU1" s="81"/>
      <c r="BV1" s="81"/>
      <c r="BW1" s="82" t="s">
        <v>12</v>
      </c>
      <c r="BX1" s="82"/>
      <c r="BY1" s="81"/>
      <c r="BZ1" s="81"/>
      <c r="CA1" s="82" t="s">
        <v>13</v>
      </c>
      <c r="CB1" s="81"/>
      <c r="CC1" s="81"/>
      <c r="CD1" s="81"/>
      <c r="CE1" s="81" t="s">
        <v>14</v>
      </c>
      <c r="CF1" s="25"/>
      <c r="CG1" s="25"/>
      <c r="CH1" s="25" t="s">
        <v>15</v>
      </c>
      <c r="CI1" s="25"/>
      <c r="CJ1" s="186" t="s">
        <v>16</v>
      </c>
      <c r="CK1" s="154">
        <v>1220115</v>
      </c>
      <c r="CL1" s="154" t="s">
        <v>17</v>
      </c>
      <c r="CM1" s="155" t="s">
        <v>18</v>
      </c>
      <c r="CN1" s="154" t="s">
        <v>19</v>
      </c>
      <c r="CO1" s="154" t="s">
        <v>20</v>
      </c>
      <c r="CP1" s="154" t="s">
        <v>21</v>
      </c>
      <c r="CQ1" s="154"/>
      <c r="CR1" s="240" t="s">
        <v>22</v>
      </c>
      <c r="CS1" s="240"/>
      <c r="CT1" s="25"/>
      <c r="CU1" s="92"/>
      <c r="CV1" s="92" t="s">
        <v>23</v>
      </c>
      <c r="CW1" s="129" t="s">
        <v>24</v>
      </c>
      <c r="CX1" s="92" t="s">
        <v>25</v>
      </c>
      <c r="CY1" s="92" t="s">
        <v>26</v>
      </c>
      <c r="CZ1" s="92" t="s">
        <v>27</v>
      </c>
      <c r="DA1" s="25"/>
      <c r="DB1" s="176" t="s">
        <v>28</v>
      </c>
      <c r="DC1" s="83"/>
      <c r="DD1" s="81"/>
      <c r="DE1" s="81"/>
      <c r="DF1" s="81" t="s">
        <v>29</v>
      </c>
      <c r="DG1" s="25" t="s">
        <v>29</v>
      </c>
      <c r="DH1" s="25" t="s">
        <v>29</v>
      </c>
      <c r="DI1" s="25" t="s">
        <v>29</v>
      </c>
      <c r="DJ1" s="25" t="s">
        <v>29</v>
      </c>
      <c r="DK1" s="25" t="s">
        <v>29</v>
      </c>
      <c r="DL1" s="25" t="s">
        <v>29</v>
      </c>
      <c r="DM1" s="25" t="s">
        <v>29</v>
      </c>
      <c r="DN1" s="25" t="s">
        <v>30</v>
      </c>
      <c r="DO1" s="25" t="s">
        <v>31</v>
      </c>
      <c r="DP1" s="25"/>
      <c r="DQ1" s="81"/>
      <c r="DR1" s="87" t="s">
        <v>28</v>
      </c>
      <c r="DS1" s="84"/>
      <c r="DT1" s="81"/>
      <c r="DU1" s="13" t="s">
        <v>32</v>
      </c>
      <c r="DV1" s="25" t="s">
        <v>33</v>
      </c>
      <c r="DW1" s="87" t="s">
        <v>34</v>
      </c>
      <c r="DX1" s="84"/>
      <c r="DY1" s="81"/>
      <c r="DZ1" s="81"/>
      <c r="EA1" s="81"/>
      <c r="EB1" s="81"/>
      <c r="EC1" s="87" t="s">
        <v>35</v>
      </c>
      <c r="ED1" s="81"/>
      <c r="EE1" s="81"/>
      <c r="EF1" s="85"/>
      <c r="EG1" s="81"/>
      <c r="EH1" s="81"/>
      <c r="EI1" s="87" t="s">
        <v>36</v>
      </c>
      <c r="EJ1" s="81"/>
      <c r="EK1" s="81"/>
      <c r="EL1" s="81"/>
      <c r="EM1" s="81"/>
      <c r="EN1" s="81"/>
      <c r="EO1" s="81"/>
      <c r="EP1" s="81"/>
      <c r="EQ1" s="87"/>
      <c r="ER1" s="87" t="s">
        <v>37</v>
      </c>
      <c r="ES1" s="81"/>
      <c r="ET1" s="81"/>
      <c r="EU1" s="81"/>
      <c r="EV1" s="81"/>
      <c r="EW1" s="81"/>
      <c r="EX1" s="81"/>
      <c r="EY1" s="87"/>
      <c r="EZ1" s="81"/>
      <c r="FA1" s="87" t="s">
        <v>38</v>
      </c>
      <c r="FB1" s="81"/>
      <c r="FC1" s="25"/>
      <c r="FD1" s="81"/>
      <c r="FE1" s="81"/>
      <c r="FF1" s="81"/>
      <c r="FG1" s="81"/>
      <c r="FH1" s="81"/>
      <c r="FI1" s="81"/>
      <c r="FJ1" s="81"/>
      <c r="FK1" s="81"/>
      <c r="FL1" s="87" t="s">
        <v>39</v>
      </c>
      <c r="FM1" s="81"/>
      <c r="FN1" s="81"/>
      <c r="FO1" s="81"/>
      <c r="FP1" s="81"/>
      <c r="FQ1" s="81"/>
      <c r="FR1" s="81"/>
      <c r="FS1" s="81"/>
      <c r="FT1" s="81"/>
      <c r="FU1" s="81"/>
      <c r="FV1" s="81"/>
      <c r="FW1" s="81"/>
      <c r="FX1" s="81"/>
      <c r="FY1" s="81"/>
      <c r="FZ1" s="81"/>
      <c r="GA1" s="81"/>
      <c r="GB1" s="81"/>
      <c r="GC1" s="87" t="s">
        <v>40</v>
      </c>
      <c r="GD1" s="81"/>
      <c r="GE1" s="81"/>
      <c r="GF1" s="81"/>
      <c r="GG1" s="87" t="s">
        <v>41</v>
      </c>
      <c r="GH1" s="81"/>
      <c r="GI1" s="81"/>
      <c r="GJ1" s="81"/>
      <c r="GS1" s="63" t="str">
        <f>IF(G2="","",CONCATENATE("Dealer is ",G2))</f>
        <v/>
      </c>
      <c r="GT1" s="181" t="str">
        <f ca="1">IF(X26&gt;0,"Configuration has errors",CONCATENATE(F4,"   "))</f>
        <v xml:space="preserve">   </v>
      </c>
      <c r="GU1" s="182"/>
    </row>
    <row r="2" spans="1:215" ht="15" thickBot="1" x14ac:dyDescent="0.35">
      <c r="B2" s="30" t="s">
        <v>42</v>
      </c>
      <c r="C2" s="141"/>
      <c r="D2" s="238" t="str">
        <f>IF($AM$30&gt;0,"  Finish Available While Supplies Last","")</f>
        <v/>
      </c>
      <c r="E2" s="239"/>
      <c r="F2" s="13" t="s">
        <v>43</v>
      </c>
      <c r="G2" s="65"/>
      <c r="H2" s="132" t="s">
        <v>44</v>
      </c>
      <c r="I2" s="29"/>
      <c r="S2" s="11" t="s">
        <v>45</v>
      </c>
      <c r="AE2" s="2" t="s">
        <v>42</v>
      </c>
      <c r="AF2" s="2" t="s">
        <v>46</v>
      </c>
      <c r="AG2" s="10" t="s">
        <v>47</v>
      </c>
      <c r="AH2" s="66" t="s">
        <v>48</v>
      </c>
      <c r="AI2" s="56" t="s">
        <v>49</v>
      </c>
      <c r="AJ2" t="s">
        <v>50</v>
      </c>
      <c r="AK2" s="18" t="s">
        <v>51</v>
      </c>
      <c r="AL2" s="16"/>
      <c r="AM2" s="10"/>
      <c r="AN2" s="66" t="s">
        <v>52</v>
      </c>
      <c r="AO2" s="66" t="s">
        <v>53</v>
      </c>
      <c r="AP2" s="66" t="s">
        <v>54</v>
      </c>
      <c r="AQ2" s="66" t="s">
        <v>55</v>
      </c>
      <c r="AR2" s="10" t="s">
        <v>56</v>
      </c>
      <c r="AS2" s="10"/>
      <c r="AT2" s="10"/>
      <c r="AU2" s="10" t="s">
        <v>57</v>
      </c>
      <c r="AV2" s="10"/>
      <c r="AW2" s="10"/>
      <c r="AX2" s="10"/>
      <c r="AY2" s="10"/>
      <c r="AZ2" s="10"/>
      <c r="BA2" s="10"/>
      <c r="BB2" s="10" t="s">
        <v>58</v>
      </c>
      <c r="BC2" s="10" t="s">
        <v>58</v>
      </c>
      <c r="BD2" s="10" t="s">
        <v>58</v>
      </c>
      <c r="BE2" s="10"/>
      <c r="BF2" s="10" t="s">
        <v>58</v>
      </c>
      <c r="BG2" s="10"/>
      <c r="BH2" s="15"/>
      <c r="BI2" s="2" t="s">
        <v>11</v>
      </c>
      <c r="BJ2" s="3" t="s">
        <v>12</v>
      </c>
      <c r="BK2" s="2" t="s">
        <v>13</v>
      </c>
      <c r="BL2" s="2" t="s">
        <v>14</v>
      </c>
      <c r="BM2" s="2" t="s">
        <v>15</v>
      </c>
      <c r="BP2" s="15" t="s">
        <v>59</v>
      </c>
      <c r="BQ2" s="15"/>
      <c r="BR2" s="15" t="s">
        <v>60</v>
      </c>
      <c r="BS2" s="5" t="s">
        <v>61</v>
      </c>
      <c r="BT2" s="4"/>
      <c r="BU2" t="s">
        <v>32</v>
      </c>
      <c r="BV2" s="8" t="s">
        <v>60</v>
      </c>
      <c r="BW2" s="5" t="s">
        <v>62</v>
      </c>
      <c r="BZ2" s="8" t="s">
        <v>60</v>
      </c>
      <c r="CA2" s="2" t="s">
        <v>63</v>
      </c>
      <c r="CD2" s="8" t="s">
        <v>60</v>
      </c>
      <c r="CE2" s="2" t="s">
        <v>64</v>
      </c>
      <c r="CG2" s="8" t="s">
        <v>60</v>
      </c>
      <c r="CH2" s="2" t="s">
        <v>65</v>
      </c>
      <c r="CJ2" s="15" t="s">
        <v>66</v>
      </c>
      <c r="CK2" s="15" t="s">
        <v>67</v>
      </c>
      <c r="CL2" s="90" t="s">
        <v>68</v>
      </c>
      <c r="CM2" s="90" t="s">
        <v>69</v>
      </c>
      <c r="CN2" s="90" t="s">
        <v>70</v>
      </c>
      <c r="CO2" s="90" t="s">
        <v>71</v>
      </c>
      <c r="CP2" s="90" t="s">
        <v>72</v>
      </c>
      <c r="CQ2" s="90"/>
      <c r="CR2" s="156" t="s">
        <v>73</v>
      </c>
      <c r="CT2" s="90"/>
      <c r="CU2" s="15" t="s">
        <v>66</v>
      </c>
      <c r="CV2" s="90" t="s">
        <v>68</v>
      </c>
      <c r="CW2" s="90" t="s">
        <v>69</v>
      </c>
      <c r="CX2" s="90" t="s">
        <v>70</v>
      </c>
      <c r="CY2" s="90" t="s">
        <v>71</v>
      </c>
      <c r="CZ2" s="90" t="s">
        <v>72</v>
      </c>
      <c r="DB2" s="43" t="s">
        <v>74</v>
      </c>
      <c r="DC2" s="16" t="s">
        <v>75</v>
      </c>
      <c r="DD2" t="s">
        <v>76</v>
      </c>
      <c r="DE2" t="s">
        <v>77</v>
      </c>
      <c r="DF2" s="13" t="s">
        <v>78</v>
      </c>
      <c r="DG2" s="13" t="s">
        <v>79</v>
      </c>
      <c r="DH2" s="13" t="s">
        <v>69</v>
      </c>
      <c r="DI2" s="13" t="s">
        <v>80</v>
      </c>
      <c r="DJ2" s="13" t="s">
        <v>81</v>
      </c>
      <c r="DK2" s="13" t="s">
        <v>82</v>
      </c>
      <c r="DL2" s="13" t="s">
        <v>83</v>
      </c>
      <c r="DM2" s="13" t="s">
        <v>84</v>
      </c>
      <c r="DN2" s="25" t="s">
        <v>32</v>
      </c>
      <c r="DO2" s="25" t="s">
        <v>85</v>
      </c>
      <c r="DP2" s="13"/>
      <c r="DS2" s="66" t="s">
        <v>86</v>
      </c>
      <c r="DT2" s="10" t="s">
        <v>87</v>
      </c>
      <c r="DU2" s="13" t="s">
        <v>28</v>
      </c>
      <c r="DV2" s="25" t="s">
        <v>34</v>
      </c>
      <c r="DW2" t="s">
        <v>88</v>
      </c>
      <c r="DX2" s="66" t="s">
        <v>86</v>
      </c>
      <c r="DY2" s="10" t="s">
        <v>87</v>
      </c>
      <c r="DZ2" s="13" t="s">
        <v>89</v>
      </c>
      <c r="EA2" s="13"/>
      <c r="EB2" s="13" t="s">
        <v>90</v>
      </c>
      <c r="EC2" s="16" t="s">
        <v>91</v>
      </c>
      <c r="EF2" s="18"/>
      <c r="EG2" s="19"/>
      <c r="EH2" s="19"/>
      <c r="EI2" s="18"/>
      <c r="EJ2" s="18"/>
      <c r="EK2" s="18"/>
      <c r="EL2" s="18"/>
      <c r="EM2" s="18"/>
      <c r="EN2" s="18"/>
      <c r="EO2" s="18"/>
      <c r="EP2" s="18"/>
      <c r="EQ2" s="18"/>
      <c r="ER2" s="18"/>
      <c r="ES2" s="18"/>
      <c r="ET2" s="18"/>
      <c r="FK2" s="40">
        <v>2</v>
      </c>
      <c r="FM2" t="str">
        <f t="shared" ref="FM2:FN4" si="0">B2</f>
        <v>Shell</v>
      </c>
      <c r="FN2">
        <f t="shared" si="0"/>
        <v>0</v>
      </c>
      <c r="FT2" s="12" t="s">
        <v>92</v>
      </c>
      <c r="GG2" t="s">
        <v>93</v>
      </c>
      <c r="GS2" s="14" t="str">
        <f>CONCATENATE("PO #: ",$G$3)</f>
        <v xml:space="preserve">PO #: </v>
      </c>
      <c r="GT2" s="130" t="str">
        <f>IF($AM$30&gt;0,"Finish Available While Supplies Last","")</f>
        <v/>
      </c>
      <c r="GU2" s="57"/>
      <c r="GV2" s="57" t="s">
        <v>94</v>
      </c>
      <c r="GW2" s="57" t="s">
        <v>95</v>
      </c>
      <c r="GX2" s="57" t="s">
        <v>96</v>
      </c>
      <c r="GY2" s="57" t="s">
        <v>97</v>
      </c>
      <c r="GZ2" s="57" t="s">
        <v>98</v>
      </c>
      <c r="HA2" s="57" t="s">
        <v>99</v>
      </c>
      <c r="HB2" s="57" t="s">
        <v>100</v>
      </c>
      <c r="HC2" s="57" t="s">
        <v>101</v>
      </c>
      <c r="HD2" s="57" t="s">
        <v>102</v>
      </c>
      <c r="HE2" s="57" t="s">
        <v>103</v>
      </c>
      <c r="HF2" s="57" t="s">
        <v>104</v>
      </c>
    </row>
    <row r="3" spans="1:215" ht="15" thickBot="1" x14ac:dyDescent="0.35">
      <c r="B3" s="30" t="s">
        <v>105</v>
      </c>
      <c r="C3" s="141"/>
      <c r="D3" s="11" t="str">
        <f>IF(AND(C3&lt;&gt;"",BN1=1),"Shell/Finish Error","")</f>
        <v/>
      </c>
      <c r="E3" s="145"/>
      <c r="F3" s="13" t="s">
        <v>106</v>
      </c>
      <c r="G3" s="65"/>
      <c r="H3" s="132" t="s">
        <v>107</v>
      </c>
      <c r="I3" s="132"/>
      <c r="S3" t="s">
        <v>108</v>
      </c>
      <c r="V3" s="69" t="s">
        <v>109</v>
      </c>
      <c r="W3" t="s">
        <v>110</v>
      </c>
      <c r="AC3" s="13" t="s">
        <v>68</v>
      </c>
      <c r="AD3">
        <f>IF($C$2=AE3,1,0)</f>
        <v>0</v>
      </c>
      <c r="AE3" t="s">
        <v>11</v>
      </c>
      <c r="AF3" t="s">
        <v>111</v>
      </c>
      <c r="AG3" s="56" t="s">
        <v>112</v>
      </c>
      <c r="AH3" s="66" t="s">
        <v>113</v>
      </c>
      <c r="AI3" s="26" t="s">
        <v>114</v>
      </c>
      <c r="AJ3" s="104" t="s">
        <v>115</v>
      </c>
      <c r="AK3" s="105" t="s">
        <v>112</v>
      </c>
      <c r="AL3" s="6"/>
      <c r="AM3" s="54" t="s">
        <v>116</v>
      </c>
      <c r="AN3" s="66">
        <f>CS3</f>
        <v>0</v>
      </c>
      <c r="AO3" s="66">
        <f>CS4</f>
        <v>0</v>
      </c>
      <c r="AP3" s="66">
        <f>CS5</f>
        <v>0</v>
      </c>
      <c r="AQ3" s="66">
        <f>CS6</f>
        <v>0</v>
      </c>
      <c r="AR3" s="56" t="s">
        <v>117</v>
      </c>
      <c r="AS3" s="66" t="s">
        <v>76</v>
      </c>
      <c r="AT3" s="66" t="s">
        <v>118</v>
      </c>
      <c r="AU3" s="30" t="s">
        <v>119</v>
      </c>
      <c r="AV3" s="30" t="s">
        <v>120</v>
      </c>
      <c r="AW3" s="30" t="s">
        <v>121</v>
      </c>
      <c r="AX3" s="30" t="s">
        <v>122</v>
      </c>
      <c r="AY3" s="30" t="s">
        <v>123</v>
      </c>
      <c r="AZ3" s="30" t="s">
        <v>124</v>
      </c>
      <c r="BA3" s="30" t="s">
        <v>125</v>
      </c>
      <c r="BB3" s="30" t="s">
        <v>126</v>
      </c>
      <c r="BC3" s="30" t="s">
        <v>127</v>
      </c>
      <c r="BD3" s="30" t="s">
        <v>128</v>
      </c>
      <c r="BE3" s="30" t="s">
        <v>129</v>
      </c>
      <c r="BF3" s="30" t="s">
        <v>130</v>
      </c>
      <c r="BG3" s="56"/>
      <c r="BH3" s="56"/>
      <c r="BI3" s="1" t="s">
        <v>131</v>
      </c>
      <c r="BJ3" s="1" t="s">
        <v>112</v>
      </c>
      <c r="BK3" s="1" t="s">
        <v>112</v>
      </c>
      <c r="BL3" s="4" t="s">
        <v>131</v>
      </c>
      <c r="BM3" s="1" t="s">
        <v>112</v>
      </c>
      <c r="BP3" s="4" t="s">
        <v>132</v>
      </c>
      <c r="BQ3" s="4"/>
      <c r="BR3" s="6" t="str">
        <f>BS$1&amp;" "&amp;BS3</f>
        <v>Classic Maple 12x18 Bass Drum</v>
      </c>
      <c r="BS3" s="4" t="s">
        <v>132</v>
      </c>
      <c r="BT3" s="71"/>
      <c r="BV3" s="6" t="str">
        <f>BW$1&amp;" "&amp;BW3</f>
        <v>Legacy Maple 12x18 Bass Drum</v>
      </c>
      <c r="BW3" s="4" t="s">
        <v>132</v>
      </c>
      <c r="BX3" s="67"/>
      <c r="BZ3" s="6" t="str">
        <f>CA$1&amp;" "&amp;CA3</f>
        <v>Legacy Mahogany 12x18 Bass Drum</v>
      </c>
      <c r="CA3" s="4" t="s">
        <v>132</v>
      </c>
      <c r="CB3" s="67"/>
      <c r="CC3" s="9"/>
      <c r="CD3" s="6" t="str">
        <f>CE$1&amp;" "&amp;CE3</f>
        <v>Legacy Exotic 12x18 Bass Drum</v>
      </c>
      <c r="CE3" s="4" t="s">
        <v>132</v>
      </c>
      <c r="CF3" s="70"/>
      <c r="CG3" s="91" t="s">
        <v>133</v>
      </c>
      <c r="CH3" s="4" t="s">
        <v>132</v>
      </c>
      <c r="CI3" s="70"/>
      <c r="CJ3" s="4"/>
      <c r="CK3" s="90"/>
      <c r="CL3" s="157"/>
      <c r="CM3" s="157"/>
      <c r="CN3" s="157"/>
      <c r="CO3" s="157"/>
      <c r="CP3" s="157"/>
      <c r="CQ3" s="70"/>
      <c r="CS3" s="157"/>
      <c r="CT3" s="70"/>
      <c r="CU3" s="4">
        <f t="shared" ref="CU3:CU11" si="1">CJ3</f>
        <v>0</v>
      </c>
      <c r="CV3" s="93" t="s">
        <v>134</v>
      </c>
      <c r="CW3" s="93" t="s">
        <v>135</v>
      </c>
      <c r="CX3" s="93" t="s">
        <v>136</v>
      </c>
      <c r="CY3" s="93" t="s">
        <v>137</v>
      </c>
      <c r="CZ3" s="93" t="s">
        <v>138</v>
      </c>
      <c r="DA3" s="70"/>
      <c r="DB3" s="13" t="s">
        <v>52</v>
      </c>
      <c r="DC3" s="16" t="str">
        <f t="shared" ref="DC3:DC69" si="2">CONCATENATE(DB3,".",DD3)</f>
        <v>Bass.12x18 Bass Drum</v>
      </c>
      <c r="DD3" s="4" t="s">
        <v>132</v>
      </c>
      <c r="DE3" s="69" t="str">
        <f t="shared" ref="DE3:DE29" si="3">CONCATENATE(DF3,DG3,DH3,DI3,DJ3,DK3,DL3,DM3)</f>
        <v>MLLCLL</v>
      </c>
      <c r="DF3" s="13" t="s">
        <v>78</v>
      </c>
      <c r="DG3" s="13" t="s">
        <v>79</v>
      </c>
      <c r="DH3" s="13" t="s">
        <v>69</v>
      </c>
      <c r="DI3" s="13"/>
      <c r="DK3" s="13"/>
      <c r="DL3" s="13"/>
      <c r="DM3" s="13"/>
      <c r="DN3" s="13">
        <f t="shared" ref="DN3:DN20" si="4">IF(ISERROR(MATCH(DD3,$C$8:$C$20,0)=FALSE),0,1)</f>
        <v>0</v>
      </c>
      <c r="DO3" s="25" t="s">
        <v>139</v>
      </c>
      <c r="DP3" s="13"/>
      <c r="DR3" t="s">
        <v>140</v>
      </c>
      <c r="DS3" s="66">
        <f>CS119</f>
        <v>0</v>
      </c>
      <c r="DT3" s="71"/>
      <c r="DU3" s="13">
        <f>IF(ISERROR(MATCH(DR3,$FS$8:$FS$20,0)=TRUE),0,1)</f>
        <v>0</v>
      </c>
      <c r="DV3" s="25" t="s">
        <v>141</v>
      </c>
      <c r="DW3" t="s">
        <v>142</v>
      </c>
      <c r="DX3" s="66">
        <f t="shared" ref="DX3:DX13" si="5">CS81</f>
        <v>0</v>
      </c>
      <c r="DY3" s="71" t="s">
        <v>143</v>
      </c>
      <c r="DZ3" s="13">
        <v>0</v>
      </c>
      <c r="EA3" s="13"/>
      <c r="EB3" s="13">
        <f t="shared" ref="EB3:EB13" si="6">COUNTIF($G$8:$G$20,DW3)</f>
        <v>0</v>
      </c>
      <c r="EC3" s="71" t="s">
        <v>144</v>
      </c>
      <c r="ED3" s="26" t="s">
        <v>145</v>
      </c>
      <c r="EE3" s="26"/>
      <c r="EF3" s="24"/>
      <c r="EG3" s="24"/>
      <c r="EH3" s="24"/>
      <c r="EI3" s="24" t="s">
        <v>146</v>
      </c>
      <c r="EJ3" s="24"/>
      <c r="EK3" s="24"/>
      <c r="EL3" s="24" t="s">
        <v>147</v>
      </c>
      <c r="EM3" s="24"/>
      <c r="EN3" s="24"/>
      <c r="EO3" s="24"/>
      <c r="EP3" s="24"/>
      <c r="EQ3" s="24"/>
      <c r="ER3" s="24"/>
      <c r="ES3" s="24"/>
      <c r="EU3" s="26"/>
      <c r="EY3" s="20"/>
      <c r="EZ3" s="20"/>
      <c r="FA3" s="33"/>
      <c r="FK3" s="40">
        <v>3</v>
      </c>
      <c r="FM3" t="str">
        <f t="shared" si="0"/>
        <v>Finish</v>
      </c>
      <c r="FN3">
        <f t="shared" si="0"/>
        <v>0</v>
      </c>
      <c r="FU3" t="s">
        <v>148</v>
      </c>
      <c r="GR3" s="14"/>
      <c r="GS3" s="13"/>
      <c r="GT3" s="88" t="str">
        <f>IF(GT5="","","Drum 1")</f>
        <v/>
      </c>
      <c r="GU3" s="88" t="str">
        <f>IF(GU5="","","Drum 2")</f>
        <v/>
      </c>
      <c r="GV3" s="88" t="str">
        <f>IF(GV5="","","Drum 3")</f>
        <v/>
      </c>
      <c r="GW3" s="88" t="str">
        <f>IF(GW5="","","Drum 4")</f>
        <v/>
      </c>
      <c r="GX3" s="88" t="str">
        <f>IF(GX5="","","Drum 5")</f>
        <v/>
      </c>
      <c r="GY3" s="88" t="str">
        <f>IF(GY5="","","Drum 6")</f>
        <v/>
      </c>
      <c r="GZ3" s="88" t="str">
        <f>IF(GZ5="","","Drum 7")</f>
        <v/>
      </c>
      <c r="HA3" s="62" t="str">
        <f>IF(HA5="","","Drum 8")</f>
        <v/>
      </c>
      <c r="HB3" s="62" t="str">
        <f>IF(HB5="","","Drum 9")</f>
        <v/>
      </c>
      <c r="HC3" s="62" t="str">
        <f>IF(HC5="","","Drum 10")</f>
        <v/>
      </c>
      <c r="HD3" s="62" t="str">
        <f>IF(HD5="","","Drum 11")</f>
        <v/>
      </c>
      <c r="HE3" s="62" t="str">
        <f>IF(HE5="","","Drum 12")</f>
        <v/>
      </c>
      <c r="HF3" s="62" t="str">
        <f>IF(HF5="","","Drum 13")</f>
        <v/>
      </c>
      <c r="HG3" s="13"/>
    </row>
    <row r="4" spans="1:215" ht="15.6" x14ac:dyDescent="0.3">
      <c r="B4" s="74" t="s">
        <v>149</v>
      </c>
      <c r="C4" s="172"/>
      <c r="D4" s="130" t="str">
        <f ca="1">IF(C4="","",IF(ISERROR(MATCH(C4,INDIRECT(CONCATENATE(INDEX($AE$3:$AF$7,MATCH(C2,AE3:AE7,0),2),"_Badge")),0))=FALSE,"","Invalid Selection"))</f>
        <v/>
      </c>
      <c r="F4" s="14"/>
      <c r="G4" s="180"/>
      <c r="H4" s="132" t="s">
        <v>150</v>
      </c>
      <c r="S4" t="s">
        <v>151</v>
      </c>
      <c r="AC4" s="13" t="s">
        <v>69</v>
      </c>
      <c r="AD4">
        <f>IF($C$2=AE4,1,0)</f>
        <v>0</v>
      </c>
      <c r="AE4" t="s">
        <v>12</v>
      </c>
      <c r="AF4" t="s">
        <v>152</v>
      </c>
      <c r="AG4" s="56" t="s">
        <v>153</v>
      </c>
      <c r="AH4" s="66" t="s">
        <v>113</v>
      </c>
      <c r="AI4" s="26" t="s">
        <v>154</v>
      </c>
      <c r="AJ4" s="104" t="s">
        <v>155</v>
      </c>
      <c r="AK4" s="105" t="s">
        <v>153</v>
      </c>
      <c r="AL4" s="6"/>
      <c r="AM4" s="54" t="s">
        <v>156</v>
      </c>
      <c r="AN4" s="66">
        <f>CS7</f>
        <v>0</v>
      </c>
      <c r="AO4" s="66">
        <f>CS8</f>
        <v>0</v>
      </c>
      <c r="AP4" s="66">
        <f>CS9</f>
        <v>0</v>
      </c>
      <c r="AQ4" s="66">
        <f>CS10</f>
        <v>0</v>
      </c>
      <c r="AR4" s="56" t="s">
        <v>117</v>
      </c>
      <c r="AT4" s="90" t="s">
        <v>133</v>
      </c>
      <c r="AU4" s="15">
        <f>IFERROR(INDEX($AT$81:$BA$972,MATCH(CONCATENATE($AT4,".",AU$3),$AT$81:$AT$972,0),6),9999)</f>
        <v>186</v>
      </c>
      <c r="AV4" s="15">
        <f t="shared" ref="AV4:BF19" si="7">IFERROR(INDEX($AT$81:$BA$972,MATCH(CONCATENATE($AT4,".",AV$3),$AT$81:$AT$972,0),6),9999)</f>
        <v>186</v>
      </c>
      <c r="AW4" s="15">
        <f t="shared" si="7"/>
        <v>186</v>
      </c>
      <c r="AX4" s="15">
        <f t="shared" si="7"/>
        <v>0</v>
      </c>
      <c r="AY4" s="15">
        <f t="shared" si="7"/>
        <v>0</v>
      </c>
      <c r="AZ4" s="15">
        <f t="shared" si="7"/>
        <v>400</v>
      </c>
      <c r="BA4" s="15">
        <f t="shared" si="7"/>
        <v>0</v>
      </c>
      <c r="BB4" s="15">
        <f t="shared" si="7"/>
        <v>0</v>
      </c>
      <c r="BC4" s="15">
        <f t="shared" si="7"/>
        <v>0</v>
      </c>
      <c r="BD4" s="15">
        <f t="shared" si="7"/>
        <v>0</v>
      </c>
      <c r="BE4" s="15">
        <f t="shared" si="7"/>
        <v>0</v>
      </c>
      <c r="BF4" s="15">
        <f t="shared" si="7"/>
        <v>0</v>
      </c>
      <c r="BG4" s="56"/>
      <c r="BH4" s="56"/>
      <c r="BI4" s="1" t="s">
        <v>112</v>
      </c>
      <c r="BJ4" s="1" t="s">
        <v>153</v>
      </c>
      <c r="BK4" s="56" t="s">
        <v>157</v>
      </c>
      <c r="BL4" s="4" t="s">
        <v>158</v>
      </c>
      <c r="BM4" s="1" t="s">
        <v>153</v>
      </c>
      <c r="BP4" s="4" t="s">
        <v>159</v>
      </c>
      <c r="BQ4" s="4"/>
      <c r="BR4" s="6" t="str">
        <f t="shared" ref="BR4:BR22" si="8">BS$1&amp;" "&amp;BS4</f>
        <v>Classic Maple 14x18 Bass Drum</v>
      </c>
      <c r="BS4" s="4" t="s">
        <v>159</v>
      </c>
      <c r="BT4" s="71"/>
      <c r="BV4" s="6" t="str">
        <f>BW$1&amp;" "&amp;BW4</f>
        <v>Legacy Maple 14x18 Bass Drum</v>
      </c>
      <c r="BW4" s="4" t="s">
        <v>159</v>
      </c>
      <c r="BX4" s="67"/>
      <c r="BZ4" s="6" t="str">
        <f t="shared" ref="BZ4:BZ10" si="9">CA$1&amp;" "&amp;CA4</f>
        <v>Legacy Mahogany 14x18 Bass Drum</v>
      </c>
      <c r="CA4" s="4" t="s">
        <v>159</v>
      </c>
      <c r="CB4" s="67"/>
      <c r="CC4" s="9"/>
      <c r="CD4" s="6" t="str">
        <f>CE$1&amp;" "&amp;CE4</f>
        <v>Legacy Exotic 14x18 Bass Drum</v>
      </c>
      <c r="CE4" s="4" t="s">
        <v>159</v>
      </c>
      <c r="CF4" s="70"/>
      <c r="CG4" s="23" t="s">
        <v>160</v>
      </c>
      <c r="CH4" s="4" t="s">
        <v>159</v>
      </c>
      <c r="CI4" s="70"/>
      <c r="CJ4" s="4"/>
      <c r="CK4" s="90"/>
      <c r="CL4" s="157"/>
      <c r="CM4" s="157"/>
      <c r="CN4" s="157"/>
      <c r="CO4" s="157"/>
      <c r="CP4" s="157"/>
      <c r="CQ4" s="70"/>
      <c r="CS4" s="157"/>
      <c r="CT4" s="70"/>
      <c r="CU4" s="4">
        <f t="shared" si="1"/>
        <v>0</v>
      </c>
      <c r="CV4" s="93" t="s">
        <v>161</v>
      </c>
      <c r="CW4" s="93" t="s">
        <v>162</v>
      </c>
      <c r="CX4" s="93" t="s">
        <v>163</v>
      </c>
      <c r="CY4" s="93" t="s">
        <v>164</v>
      </c>
      <c r="CZ4" s="93" t="s">
        <v>165</v>
      </c>
      <c r="DA4" s="70"/>
      <c r="DB4" s="13" t="s">
        <v>52</v>
      </c>
      <c r="DC4" s="16" t="str">
        <f t="shared" si="2"/>
        <v>Bass.12x20 Bass Drum</v>
      </c>
      <c r="DD4" s="4" t="s">
        <v>166</v>
      </c>
      <c r="DE4" s="69" t="str">
        <f t="shared" si="3"/>
        <v>MLLCLL</v>
      </c>
      <c r="DF4" s="13" t="s">
        <v>78</v>
      </c>
      <c r="DG4" s="13" t="s">
        <v>79</v>
      </c>
      <c r="DH4" s="13" t="s">
        <v>69</v>
      </c>
      <c r="DI4" s="13"/>
      <c r="DK4" s="13"/>
      <c r="DL4" s="13"/>
      <c r="DM4" s="13"/>
      <c r="DN4" s="13">
        <f t="shared" si="4"/>
        <v>0</v>
      </c>
      <c r="DO4" s="25" t="s">
        <v>139</v>
      </c>
      <c r="DP4" s="13"/>
      <c r="DR4" t="s">
        <v>167</v>
      </c>
      <c r="DS4" s="66">
        <f>CS120</f>
        <v>0</v>
      </c>
      <c r="DT4" s="71" t="s">
        <v>168</v>
      </c>
      <c r="DU4" s="13">
        <f t="shared" ref="DU4:DU17" si="10">IF(ISERROR(MATCH(DR4,$FS$8:$FS$20,0)=TRUE),0,1)</f>
        <v>0</v>
      </c>
      <c r="DV4" s="25" t="s">
        <v>141</v>
      </c>
      <c r="DW4" t="str">
        <f>IF(FD12=1, "P1610D CHROME Ludwig Casting", "P1610D Ludwig Bass Casting")</f>
        <v>P1610D Ludwig Bass Casting</v>
      </c>
      <c r="DX4" s="66">
        <f t="shared" si="5"/>
        <v>0</v>
      </c>
      <c r="DY4" s="71" t="s">
        <v>71</v>
      </c>
      <c r="DZ4" s="13">
        <v>0</v>
      </c>
      <c r="EA4" s="13"/>
      <c r="EB4" s="13">
        <f t="shared" si="6"/>
        <v>0</v>
      </c>
      <c r="EC4" s="71" t="s">
        <v>169</v>
      </c>
      <c r="ED4" s="26"/>
      <c r="EE4" s="26"/>
      <c r="EI4" s="24" t="s">
        <v>170</v>
      </c>
      <c r="EJ4" s="24"/>
      <c r="EK4" s="24"/>
      <c r="EL4" s="24" t="s">
        <v>171</v>
      </c>
      <c r="EM4" s="24"/>
      <c r="EN4" s="24"/>
      <c r="EO4" s="24"/>
      <c r="EP4" s="24"/>
      <c r="EQ4" s="24"/>
      <c r="ER4" s="24" t="s">
        <v>172</v>
      </c>
      <c r="ES4" s="24" t="s">
        <v>77</v>
      </c>
      <c r="ET4" t="s">
        <v>173</v>
      </c>
      <c r="EU4" s="26"/>
      <c r="EX4" s="27"/>
      <c r="EY4" s="18"/>
      <c r="FA4" s="69"/>
      <c r="FK4" s="40">
        <v>4</v>
      </c>
      <c r="FM4" t="str">
        <f t="shared" si="0"/>
        <v>Badge</v>
      </c>
      <c r="FN4">
        <f t="shared" si="0"/>
        <v>0</v>
      </c>
      <c r="FZ4" t="s">
        <v>174</v>
      </c>
      <c r="GC4" s="4"/>
      <c r="GD4" s="4"/>
      <c r="GE4" s="4"/>
      <c r="GF4" s="4"/>
      <c r="GG4" s="4"/>
      <c r="GH4" s="4"/>
      <c r="GI4" s="4"/>
      <c r="GJ4" s="4"/>
      <c r="GS4" s="58" t="s">
        <v>175</v>
      </c>
      <c r="GT4" s="88" t="str">
        <f>IF(B8="","",INDEX($Z$51:$AE$55, MATCH(B8,$Z$51:$Z$55,0), MATCH($C$2,$Z$51:$AR$51,0)))</f>
        <v/>
      </c>
      <c r="GU4" s="88" t="str">
        <f>IF(B9="","",INDEX($Z$51:$AE$55, MATCH(B9,$Z$51:$Z$55,0), MATCH($C$2,$Z$51:$AE$51,0)))</f>
        <v/>
      </c>
      <c r="GV4" s="88" t="str">
        <f>IF(B10="","",INDEX($Z$51:$AE$55, MATCH(B10,$Z$51:$Z$55,0), MATCH($C$2,$Z$51:$AE$51,0)))</f>
        <v/>
      </c>
      <c r="GW4" s="88" t="str">
        <f>IF(B11="","",INDEX($Z$51:$AE$55, MATCH(B11,$Z$51:$Z$55,0), MATCH($C$2,$Z$51:$AE$51,0)))</f>
        <v/>
      </c>
      <c r="GX4" s="88" t="str">
        <f>IF(B12="","",INDEX($Z$51:$AE$55, MATCH(B12,$Z$51:$Z$55,0), MATCH($C$2,$Z$51:$AE$51,0)))</f>
        <v/>
      </c>
      <c r="GY4" s="88" t="str">
        <f>IF(B13="","",INDEX($Z$51:$AE$55, MATCH(B13,$Z$51:$Z$55,0), MATCH($C$2,$Z$51:$AE$51,0)))</f>
        <v/>
      </c>
      <c r="GZ4" s="88" t="str">
        <f>IF(B14="","",INDEX($Z$51:$AE$55, MATCH(B14,$Z$51:$Z$55,0), MATCH($C$2,$Z$51:$AE$51,0)))</f>
        <v/>
      </c>
      <c r="HA4" s="62" t="str">
        <f>IF(B15="","",INDEX($Z$51:$AE$55, MATCH(B15,$Z$51:$Z$55,0), MATCH($C$2,$Z$51:$AE$51,0)))</f>
        <v/>
      </c>
      <c r="HB4" s="62" t="str">
        <f>IF(B16="","",INDEX($Z$51:$AE$55, MATCH(B16,$Z$51:$Z$55,0), MATCH($C$2,$Z$51:$AE$51,0)))</f>
        <v/>
      </c>
      <c r="HC4" s="62" t="str">
        <f>IF(B17="","",INDEX($Z$51:$AE$55, MATCH(B17,$Z$51:$Z$55,0), MATCH($C$2,$Z$51:$AE$51,0)))</f>
        <v/>
      </c>
      <c r="HD4" s="62" t="str">
        <f>IF(B18="","",INDEX($Z$51:$AE$55, MATCH(B18,$Z$51:$Z$55,0), MATCH($C$2,$Z$51:$AE$51,0)))</f>
        <v/>
      </c>
      <c r="HE4" s="62" t="str">
        <f>IF(B19="","",INDEX($Z$51:$AE$55, MATCH(B19,$Z$51:$Z$55,0), MATCH($C$2,$Z$51:$AE$51,0)))</f>
        <v/>
      </c>
      <c r="HF4" s="62" t="str">
        <f>IF(B20="","",INDEX($Z$51:$AE$55, MATCH(B20,$Z$51:$Z$55,0), MATCH($C$2,$Z$51:$AE$51,0)))</f>
        <v/>
      </c>
    </row>
    <row r="5" spans="1:215" ht="16.2" thickBot="1" x14ac:dyDescent="0.35">
      <c r="A5" s="29"/>
      <c r="B5" s="103" t="s">
        <v>176</v>
      </c>
      <c r="C5" s="137"/>
      <c r="D5" s="57">
        <f>IF(C5="Resa-Cote",CS76,0)</f>
        <v>0</v>
      </c>
      <c r="F5" s="13"/>
      <c r="G5" s="218"/>
      <c r="H5" s="132" t="s">
        <v>177</v>
      </c>
      <c r="S5" t="s">
        <v>178</v>
      </c>
      <c r="W5" s="175" t="e">
        <f>SUM(W8:W20)</f>
        <v>#DIV/0!</v>
      </c>
      <c r="X5" s="134">
        <f ca="1">ROW(INDIRECT(CELL("address")))</f>
        <v>8</v>
      </c>
      <c r="Y5" t="s">
        <v>179</v>
      </c>
      <c r="AC5" s="13" t="s">
        <v>70</v>
      </c>
      <c r="AD5">
        <f>IF($C$2=AE5,1,0)</f>
        <v>0</v>
      </c>
      <c r="AE5" t="s">
        <v>13</v>
      </c>
      <c r="AF5" t="s">
        <v>180</v>
      </c>
      <c r="AG5" s="56" t="s">
        <v>181</v>
      </c>
      <c r="AH5" s="66" t="s">
        <v>113</v>
      </c>
      <c r="AI5" s="26" t="s">
        <v>114</v>
      </c>
      <c r="AJ5" s="104" t="s">
        <v>115</v>
      </c>
      <c r="AK5" s="105" t="s">
        <v>181</v>
      </c>
      <c r="AL5" s="6"/>
      <c r="AM5" s="54" t="s">
        <v>182</v>
      </c>
      <c r="AN5" s="66">
        <f>CS11</f>
        <v>0</v>
      </c>
      <c r="AO5" s="66">
        <f>CS12</f>
        <v>0</v>
      </c>
      <c r="AP5" s="66">
        <f>CS13</f>
        <v>0</v>
      </c>
      <c r="AQ5" s="66">
        <f>CS14</f>
        <v>0</v>
      </c>
      <c r="AR5" s="56" t="s">
        <v>117</v>
      </c>
      <c r="AT5" s="90" t="s">
        <v>160</v>
      </c>
      <c r="AU5" s="15">
        <f t="shared" ref="AU5:BF20" si="11">IFERROR(INDEX($AT$81:$BA$972,MATCH(CONCATENATE($AT5,".",AU$3),$AT$81:$AT$972,0),6),9999)</f>
        <v>186</v>
      </c>
      <c r="AV5" s="15">
        <f t="shared" si="7"/>
        <v>186</v>
      </c>
      <c r="AW5" s="15">
        <f t="shared" si="7"/>
        <v>186</v>
      </c>
      <c r="AX5" s="15">
        <f t="shared" si="7"/>
        <v>0</v>
      </c>
      <c r="AY5" s="15">
        <f t="shared" si="7"/>
        <v>0</v>
      </c>
      <c r="AZ5" s="15">
        <f t="shared" si="7"/>
        <v>400</v>
      </c>
      <c r="BA5" s="15">
        <f t="shared" si="7"/>
        <v>0</v>
      </c>
      <c r="BB5" s="15">
        <f t="shared" si="7"/>
        <v>0</v>
      </c>
      <c r="BC5" s="15">
        <f t="shared" si="7"/>
        <v>0</v>
      </c>
      <c r="BD5" s="15">
        <f t="shared" si="7"/>
        <v>0</v>
      </c>
      <c r="BE5" s="15">
        <f t="shared" si="7"/>
        <v>0</v>
      </c>
      <c r="BF5" s="15">
        <f t="shared" si="7"/>
        <v>0</v>
      </c>
      <c r="BG5" s="56"/>
      <c r="BH5" s="56"/>
      <c r="BI5" s="1" t="s">
        <v>158</v>
      </c>
      <c r="BJ5" s="1" t="s">
        <v>215</v>
      </c>
      <c r="BK5" s="1" t="s">
        <v>153</v>
      </c>
      <c r="BL5" s="4" t="s">
        <v>184</v>
      </c>
      <c r="BM5" s="1" t="s">
        <v>215</v>
      </c>
      <c r="BP5" s="4" t="s">
        <v>185</v>
      </c>
      <c r="BQ5" s="4"/>
      <c r="BR5" s="6" t="str">
        <f t="shared" si="8"/>
        <v>Classic Maple 16x18 Bass Drum</v>
      </c>
      <c r="BS5" s="4" t="s">
        <v>185</v>
      </c>
      <c r="BT5" s="71"/>
      <c r="BV5" s="6" t="str">
        <f t="shared" ref="BV5:BV10" si="12">BW$1&amp;" "&amp;BW5</f>
        <v>Legacy Maple 16x18 Bass Drum</v>
      </c>
      <c r="BW5" s="4" t="s">
        <v>185</v>
      </c>
      <c r="BX5" s="67"/>
      <c r="BZ5" s="6" t="str">
        <f t="shared" si="9"/>
        <v>Legacy Mahogany 16x18 Bass Drum</v>
      </c>
      <c r="CA5" s="4" t="s">
        <v>185</v>
      </c>
      <c r="CB5" s="67"/>
      <c r="CC5" s="9"/>
      <c r="CD5" s="6" t="str">
        <f t="shared" ref="CD5:CD10" si="13">CE$1&amp;" "&amp;CE5</f>
        <v>Legacy Exotic 16x18 Bass Drum</v>
      </c>
      <c r="CE5" s="4" t="s">
        <v>185</v>
      </c>
      <c r="CF5" s="70"/>
      <c r="CG5" s="23" t="s">
        <v>186</v>
      </c>
      <c r="CH5" s="4" t="s">
        <v>185</v>
      </c>
      <c r="CI5" s="70"/>
      <c r="CJ5" s="4"/>
      <c r="CK5" s="90"/>
      <c r="CL5" s="157"/>
      <c r="CM5" s="157"/>
      <c r="CN5" s="157"/>
      <c r="CO5" s="157"/>
      <c r="CP5" s="157"/>
      <c r="CQ5" s="70"/>
      <c r="CS5" s="157"/>
      <c r="CT5" s="70"/>
      <c r="CU5" s="4">
        <f t="shared" si="1"/>
        <v>0</v>
      </c>
      <c r="CV5" s="93" t="s">
        <v>187</v>
      </c>
      <c r="CW5" s="93" t="s">
        <v>188</v>
      </c>
      <c r="CX5" s="93" t="s">
        <v>189</v>
      </c>
      <c r="CY5" s="93" t="s">
        <v>190</v>
      </c>
      <c r="CZ5" s="93" t="s">
        <v>191</v>
      </c>
      <c r="DA5" s="70"/>
      <c r="DB5" s="13" t="s">
        <v>52</v>
      </c>
      <c r="DC5" s="16" t="str">
        <f t="shared" si="2"/>
        <v>Bass.12x22 Bass Drum</v>
      </c>
      <c r="DD5" s="4" t="s">
        <v>192</v>
      </c>
      <c r="DE5" s="69" t="str">
        <f t="shared" si="3"/>
        <v>MLLCLL</v>
      </c>
      <c r="DF5" s="13" t="s">
        <v>78</v>
      </c>
      <c r="DG5" s="13" t="s">
        <v>79</v>
      </c>
      <c r="DH5" s="13" t="s">
        <v>69</v>
      </c>
      <c r="DI5" s="13"/>
      <c r="DK5" s="13"/>
      <c r="DL5" s="13"/>
      <c r="DM5" s="13"/>
      <c r="DN5" s="13">
        <f t="shared" si="4"/>
        <v>0</v>
      </c>
      <c r="DO5" s="25" t="s">
        <v>139</v>
      </c>
      <c r="DP5" s="13"/>
      <c r="DR5" s="197" t="s">
        <v>193</v>
      </c>
      <c r="DS5" s="66">
        <f>CS137</f>
        <v>0</v>
      </c>
      <c r="DT5" t="s">
        <v>194</v>
      </c>
      <c r="DU5" s="13">
        <f t="shared" si="10"/>
        <v>0</v>
      </c>
      <c r="DV5" s="25" t="s">
        <v>195</v>
      </c>
      <c r="DW5" t="str">
        <f>IF(FD12=1, "LR2981MT CHROME Rocker Single",  "LR2981MT Rocker Single Tom Holder")</f>
        <v>LR2981MT Rocker Single Tom Holder</v>
      </c>
      <c r="DX5" s="66">
        <f t="shared" si="5"/>
        <v>0</v>
      </c>
      <c r="DY5" s="71" t="s">
        <v>196</v>
      </c>
      <c r="DZ5" s="13">
        <v>9</v>
      </c>
      <c r="EA5" s="13"/>
      <c r="EB5" s="13">
        <f t="shared" si="6"/>
        <v>0</v>
      </c>
      <c r="EC5" s="71" t="s">
        <v>197</v>
      </c>
      <c r="ED5" s="26"/>
      <c r="EE5" s="26"/>
      <c r="EI5" s="24"/>
      <c r="EJ5" s="24"/>
      <c r="EK5" s="24"/>
      <c r="EL5" t="s">
        <v>198</v>
      </c>
      <c r="EM5" s="24"/>
      <c r="EN5" s="24"/>
      <c r="EO5" s="24"/>
      <c r="EP5" s="24"/>
      <c r="ER5" t="s">
        <v>11</v>
      </c>
      <c r="ES5" t="s">
        <v>199</v>
      </c>
      <c r="ET5" s="24" t="s">
        <v>200</v>
      </c>
      <c r="EU5" s="24" t="s">
        <v>201</v>
      </c>
      <c r="EV5" s="7" t="s">
        <v>202</v>
      </c>
      <c r="EX5" s="27"/>
      <c r="EY5" s="18"/>
      <c r="FA5" s="69"/>
      <c r="FD5" s="34"/>
      <c r="FZ5" t="s">
        <v>203</v>
      </c>
      <c r="GC5" s="4"/>
      <c r="GD5" s="4"/>
      <c r="GE5" s="4"/>
      <c r="GF5" s="4"/>
      <c r="GG5" s="4" t="s">
        <v>204</v>
      </c>
      <c r="GH5" s="4"/>
      <c r="GI5" s="4"/>
      <c r="GJ5" s="4"/>
      <c r="GR5" s="15">
        <f>IF(SUM(GT36:HF36)&lt;3,3,SUM(GT36:HF36))</f>
        <v>3</v>
      </c>
      <c r="GS5" s="58" t="s">
        <v>205</v>
      </c>
      <c r="GT5" s="88" t="str">
        <f>IF(B8="","",FL8)</f>
        <v/>
      </c>
      <c r="GU5" s="88" t="str">
        <f>IF(B9="","",FL9)</f>
        <v/>
      </c>
      <c r="GV5" s="88" t="str">
        <f>IF(B10 = "","",FL10)</f>
        <v/>
      </c>
      <c r="GW5" s="88" t="str">
        <f>IF(B11="","",FL11)</f>
        <v/>
      </c>
      <c r="GX5" s="88" t="str">
        <f>IF(B12="","",FL12)</f>
        <v/>
      </c>
      <c r="GY5" s="88" t="str">
        <f>IF(B13="","",FL13)</f>
        <v/>
      </c>
      <c r="GZ5" s="88" t="str">
        <f>IF(B14="","",FL14)</f>
        <v/>
      </c>
      <c r="HA5" s="62" t="str">
        <f>IF(B15="","",FL15)</f>
        <v/>
      </c>
      <c r="HB5" s="62" t="str">
        <f>IF(B16="","",FL16)</f>
        <v/>
      </c>
      <c r="HC5" s="62" t="str">
        <f>IF(B17="","",FL17)</f>
        <v/>
      </c>
      <c r="HD5" s="62" t="str">
        <f>IF(B18="","",FL18)</f>
        <v/>
      </c>
      <c r="HE5" s="62" t="str">
        <f>IF(B19="","",FL19)</f>
        <v/>
      </c>
      <c r="HF5" s="62" t="str">
        <f>IF(B20="","",FL20)</f>
        <v/>
      </c>
    </row>
    <row r="6" spans="1:215" ht="16.2" thickBot="1" x14ac:dyDescent="0.35">
      <c r="C6" s="11" t="str">
        <f>IF(COUNTIF(FN8:FN20,"*"&amp;"N/A"&amp;"*")&gt;0=TRUE,"Size/Shell Error","")</f>
        <v/>
      </c>
      <c r="D6" s="12" t="str">
        <f>IFERROR(IF(AND(AN19 = "IOV",C5="Resa-Cote"),"Resa-Cote not available with FF Exotics",""),"")</f>
        <v/>
      </c>
      <c r="G6" s="11" t="str">
        <f>IF(FR62&gt;0,INDEX(FQ60:FR61,MATCH(1,FR60:FR61,0),1),"")</f>
        <v/>
      </c>
      <c r="J6" s="53"/>
      <c r="S6" s="16" t="s">
        <v>206</v>
      </c>
      <c r="T6" s="16" t="s">
        <v>207</v>
      </c>
      <c r="U6" s="16" t="s">
        <v>208</v>
      </c>
      <c r="V6" s="16" t="s">
        <v>209</v>
      </c>
      <c r="W6" s="16"/>
      <c r="X6" s="16" t="s">
        <v>210</v>
      </c>
      <c r="AC6" s="13" t="s">
        <v>71</v>
      </c>
      <c r="AD6">
        <f>IF($C$2=AE6,1,0)</f>
        <v>0</v>
      </c>
      <c r="AE6" t="s">
        <v>14</v>
      </c>
      <c r="AF6" t="s">
        <v>211</v>
      </c>
      <c r="AG6" s="56" t="s">
        <v>183</v>
      </c>
      <c r="AH6" s="66" t="s">
        <v>113</v>
      </c>
      <c r="AI6" s="26" t="s">
        <v>114</v>
      </c>
      <c r="AJ6" s="104" t="s">
        <v>115</v>
      </c>
      <c r="AK6" s="105" t="s">
        <v>183</v>
      </c>
      <c r="AL6" s="6"/>
      <c r="AM6" s="54" t="s">
        <v>212</v>
      </c>
      <c r="AN6" s="66">
        <f>CS15</f>
        <v>0</v>
      </c>
      <c r="AO6" s="66">
        <f>CS16</f>
        <v>0</v>
      </c>
      <c r="AP6" s="66">
        <f>CS17</f>
        <v>0</v>
      </c>
      <c r="AQ6" s="66">
        <f>CS18</f>
        <v>0</v>
      </c>
      <c r="AR6" s="56" t="s">
        <v>213</v>
      </c>
      <c r="AT6" s="90" t="s">
        <v>186</v>
      </c>
      <c r="AU6" s="15">
        <f t="shared" si="11"/>
        <v>186</v>
      </c>
      <c r="AV6" s="15">
        <f t="shared" si="7"/>
        <v>186</v>
      </c>
      <c r="AW6" s="15">
        <f t="shared" si="7"/>
        <v>186</v>
      </c>
      <c r="AX6" s="15">
        <f t="shared" si="7"/>
        <v>0</v>
      </c>
      <c r="AY6" s="15">
        <f t="shared" si="7"/>
        <v>0</v>
      </c>
      <c r="AZ6" s="15">
        <f t="shared" si="7"/>
        <v>400</v>
      </c>
      <c r="BA6" s="15">
        <f t="shared" si="7"/>
        <v>0</v>
      </c>
      <c r="BB6" s="15">
        <f t="shared" si="7"/>
        <v>0</v>
      </c>
      <c r="BC6" s="15">
        <f t="shared" si="7"/>
        <v>0</v>
      </c>
      <c r="BD6" s="15">
        <f t="shared" si="7"/>
        <v>0</v>
      </c>
      <c r="BE6" s="15">
        <f t="shared" si="7"/>
        <v>0</v>
      </c>
      <c r="BF6" s="15">
        <f t="shared" si="7"/>
        <v>0</v>
      </c>
      <c r="BG6" s="56"/>
      <c r="BH6" s="56"/>
      <c r="BI6" s="1" t="s">
        <v>214</v>
      </c>
      <c r="BJ6" s="1" t="s">
        <v>250</v>
      </c>
      <c r="BK6" s="1" t="s">
        <v>215</v>
      </c>
      <c r="BL6" s="4" t="s">
        <v>216</v>
      </c>
      <c r="BM6" s="1" t="s">
        <v>250</v>
      </c>
      <c r="BP6" s="4" t="s">
        <v>166</v>
      </c>
      <c r="BQ6" s="4"/>
      <c r="BR6" s="6" t="str">
        <f t="shared" si="8"/>
        <v>Classic Maple 12x20 Bass Drum</v>
      </c>
      <c r="BS6" s="4" t="s">
        <v>166</v>
      </c>
      <c r="BT6" s="71"/>
      <c r="BV6" s="6" t="str">
        <f t="shared" si="12"/>
        <v>Legacy Maple 12x20 Bass Drum</v>
      </c>
      <c r="BW6" s="4" t="s">
        <v>166</v>
      </c>
      <c r="BX6" s="67"/>
      <c r="BZ6" s="6" t="str">
        <f t="shared" si="9"/>
        <v>Legacy Mahogany 12x20 Bass Drum</v>
      </c>
      <c r="CA6" s="4" t="s">
        <v>166</v>
      </c>
      <c r="CB6" s="67"/>
      <c r="CC6" s="9"/>
      <c r="CD6" s="6" t="str">
        <f t="shared" si="13"/>
        <v>Legacy Exotic 12x20 Bass Drum</v>
      </c>
      <c r="CE6" s="4" t="s">
        <v>166</v>
      </c>
      <c r="CF6" s="70"/>
      <c r="CG6" s="23" t="s">
        <v>217</v>
      </c>
      <c r="CH6" s="4" t="s">
        <v>166</v>
      </c>
      <c r="CI6" s="70"/>
      <c r="CJ6" s="4"/>
      <c r="CK6" s="90"/>
      <c r="CL6" s="157"/>
      <c r="CM6" s="157"/>
      <c r="CN6" s="157"/>
      <c r="CO6" s="157"/>
      <c r="CP6" s="157"/>
      <c r="CQ6" s="70"/>
      <c r="CS6" s="157"/>
      <c r="CT6" s="70"/>
      <c r="CU6" s="4">
        <f t="shared" si="1"/>
        <v>0</v>
      </c>
      <c r="CV6" s="93" t="s">
        <v>218</v>
      </c>
      <c r="CW6" s="93" t="s">
        <v>219</v>
      </c>
      <c r="CX6" s="93" t="s">
        <v>220</v>
      </c>
      <c r="CY6" s="93" t="s">
        <v>221</v>
      </c>
      <c r="CZ6" s="93" t="s">
        <v>222</v>
      </c>
      <c r="DA6" s="70"/>
      <c r="DB6" s="13" t="s">
        <v>52</v>
      </c>
      <c r="DC6" s="16" t="str">
        <f t="shared" si="2"/>
        <v>Bass.12x24 Bass Drum</v>
      </c>
      <c r="DD6" s="4" t="s">
        <v>223</v>
      </c>
      <c r="DE6" s="69" t="str">
        <f t="shared" si="3"/>
        <v>MLLCLL</v>
      </c>
      <c r="DF6" s="13" t="s">
        <v>78</v>
      </c>
      <c r="DG6" s="13" t="s">
        <v>79</v>
      </c>
      <c r="DH6" s="13" t="s">
        <v>69</v>
      </c>
      <c r="DI6" s="13"/>
      <c r="DK6" s="13"/>
      <c r="DL6" s="13"/>
      <c r="DM6" s="13"/>
      <c r="DN6" s="13">
        <f t="shared" si="4"/>
        <v>0</v>
      </c>
      <c r="DO6" s="25" t="s">
        <v>139</v>
      </c>
      <c r="DP6" s="13"/>
      <c r="DR6" t="s">
        <v>224</v>
      </c>
      <c r="DS6" s="66">
        <f>CS121</f>
        <v>0</v>
      </c>
      <c r="DT6" s="71" t="s">
        <v>225</v>
      </c>
      <c r="DU6" s="13">
        <f t="shared" si="10"/>
        <v>0</v>
      </c>
      <c r="DV6" s="25" t="s">
        <v>195</v>
      </c>
      <c r="DW6" t="str">
        <f>IF(FD12=1, "LR2980MT CHROME Rocker Double", "LR2980MT Rocker Double Tom Holder")</f>
        <v>LR2980MT Rocker Double Tom Holder</v>
      </c>
      <c r="DX6" s="66">
        <f t="shared" si="5"/>
        <v>0</v>
      </c>
      <c r="DY6" s="71" t="s">
        <v>226</v>
      </c>
      <c r="DZ6" s="13">
        <v>9</v>
      </c>
      <c r="EA6" s="13"/>
      <c r="EB6" s="13">
        <f t="shared" si="6"/>
        <v>0</v>
      </c>
      <c r="ED6" s="26"/>
      <c r="EE6" s="26"/>
      <c r="EI6" s="24"/>
      <c r="EJ6" s="24"/>
      <c r="EK6" s="24"/>
      <c r="EL6" s="24"/>
      <c r="EM6" s="24"/>
      <c r="EN6" s="24"/>
      <c r="EO6" s="24"/>
      <c r="EP6" s="24"/>
      <c r="ER6" t="s">
        <v>12</v>
      </c>
      <c r="ES6" t="s">
        <v>227</v>
      </c>
      <c r="ET6" s="7" t="s">
        <v>228</v>
      </c>
      <c r="EU6" s="26"/>
      <c r="EV6" s="7"/>
      <c r="EW6" t="s">
        <v>229</v>
      </c>
      <c r="EX6" s="27"/>
      <c r="EY6" s="18"/>
      <c r="FA6" s="69"/>
      <c r="FK6" s="40"/>
      <c r="FL6" s="40" t="s">
        <v>230</v>
      </c>
      <c r="FM6" s="40" t="s">
        <v>231</v>
      </c>
      <c r="FN6" s="40" t="s">
        <v>232</v>
      </c>
      <c r="FO6" s="40" t="s">
        <v>233</v>
      </c>
      <c r="FP6" s="40" t="s">
        <v>234</v>
      </c>
      <c r="FQ6" s="40" t="s">
        <v>235</v>
      </c>
      <c r="FR6" s="40" t="s">
        <v>236</v>
      </c>
      <c r="FT6" s="45" t="s">
        <v>237</v>
      </c>
      <c r="FU6" s="15">
        <f ca="1">SUM(FU8:FU20)</f>
        <v>0</v>
      </c>
      <c r="FV6" s="15">
        <f ca="1">SUM(FV8:FV20)</f>
        <v>0</v>
      </c>
      <c r="FW6" s="15">
        <f ca="1">SUM(FW8:FW20)</f>
        <v>0</v>
      </c>
      <c r="FX6" s="46">
        <f ca="1">SUM(FU6:FW6)</f>
        <v>0</v>
      </c>
      <c r="FZ6" t="s">
        <v>238</v>
      </c>
      <c r="GC6" s="4" t="s">
        <v>239</v>
      </c>
      <c r="GD6" s="4"/>
      <c r="GE6" s="4"/>
      <c r="GF6" s="4"/>
      <c r="GG6" s="4" t="s">
        <v>240</v>
      </c>
      <c r="GH6" s="4"/>
      <c r="GI6" s="4"/>
      <c r="GJ6" s="4"/>
      <c r="GR6" s="13"/>
      <c r="GS6" s="58" t="s">
        <v>241</v>
      </c>
      <c r="GT6" s="124" t="str">
        <f ca="1">IF(X8=1,"Incomplete Config",H8)</f>
        <v/>
      </c>
      <c r="GU6" s="124" t="str">
        <f ca="1">IF(X9=1,"Incomplete Config",H9)</f>
        <v/>
      </c>
      <c r="GV6" s="124" t="str">
        <f ca="1">IF(X10=1,"Incomplete Config",H10)</f>
        <v/>
      </c>
      <c r="GW6" s="124" t="str">
        <f ca="1">IF(X11=1,"Incomplete Config",H11)</f>
        <v/>
      </c>
      <c r="GX6" s="124" t="str">
        <f ca="1">IF(X12=1,"Incomplete Config",H12)</f>
        <v/>
      </c>
      <c r="GY6" s="124" t="str">
        <f ca="1">IF(X13=1,"Incomplete Config",H13)</f>
        <v/>
      </c>
      <c r="GZ6" s="124" t="str">
        <f ca="1">IF(X14=1,"Incomplete Config",H14)</f>
        <v/>
      </c>
      <c r="HA6" s="125" t="str">
        <f ca="1">IF(X15=1,"Incomplete Config",H15)</f>
        <v/>
      </c>
      <c r="HB6" s="125" t="str">
        <f ca="1">IF(X16=1,"Incomplete Config",H16)</f>
        <v/>
      </c>
      <c r="HC6" s="125" t="str">
        <f ca="1">IF(X17=1,"Incomplete Config",H17)</f>
        <v/>
      </c>
      <c r="HD6" s="125" t="str">
        <f ca="1">IF(X18=1,"Incomplete Config",H18)</f>
        <v/>
      </c>
      <c r="HE6" s="125" t="str">
        <f ca="1">IF(X19=1,"Incomplete Config",H19)</f>
        <v/>
      </c>
      <c r="HF6" s="125" t="str">
        <f ca="1">IF(X20=1,"Incomplete Config",H20)</f>
        <v/>
      </c>
    </row>
    <row r="7" spans="1:215" ht="15.6" x14ac:dyDescent="0.3">
      <c r="A7" s="13" t="s">
        <v>205</v>
      </c>
      <c r="B7" s="30" t="s">
        <v>74</v>
      </c>
      <c r="C7" s="174" t="str">
        <f ca="1">IF(FU6=0,"Size","Size   (INVALID SELECTION)")</f>
        <v>Size</v>
      </c>
      <c r="D7" s="53"/>
      <c r="E7" s="74" t="str">
        <f ca="1">IF(FV6&lt;1,"Lugs","Lugs  (INVALID SELECTION)")</f>
        <v>Lugs</v>
      </c>
      <c r="F7" s="53"/>
      <c r="G7" s="74" t="str">
        <f ca="1">IF(FW6=0,"Mounts", "Mounts (INVALID SELECTION)")</f>
        <v>Mounts</v>
      </c>
      <c r="H7" s="2" t="s">
        <v>243</v>
      </c>
      <c r="I7" s="53"/>
      <c r="J7" s="53"/>
      <c r="L7" s="53"/>
      <c r="M7" s="53"/>
      <c r="P7" s="193" t="s">
        <v>244</v>
      </c>
      <c r="Q7" s="188" t="str">
        <f>CONCATENATE("Itm ",L1)</f>
        <v>Itm Retail</v>
      </c>
      <c r="R7" s="188" t="s">
        <v>245</v>
      </c>
      <c r="S7" s="44" t="s">
        <v>52</v>
      </c>
      <c r="T7" s="44" t="s">
        <v>53</v>
      </c>
      <c r="U7" s="44" t="s">
        <v>54</v>
      </c>
      <c r="V7" s="44" t="s">
        <v>55</v>
      </c>
      <c r="W7" s="44" t="s">
        <v>149</v>
      </c>
      <c r="X7" s="16" t="s">
        <v>246</v>
      </c>
      <c r="AA7" t="s">
        <v>247</v>
      </c>
      <c r="AC7" s="13" t="s">
        <v>72</v>
      </c>
      <c r="AD7">
        <f>IF($C$2=AE7,1,0)</f>
        <v>0</v>
      </c>
      <c r="AE7" s="4" t="s">
        <v>15</v>
      </c>
      <c r="AF7" s="4" t="s">
        <v>248</v>
      </c>
      <c r="AG7" s="56" t="s">
        <v>215</v>
      </c>
      <c r="AH7" s="66" t="s">
        <v>113</v>
      </c>
      <c r="AI7" s="26" t="s">
        <v>114</v>
      </c>
      <c r="AJ7" s="104" t="s">
        <v>115</v>
      </c>
      <c r="AK7" s="105" t="s">
        <v>215</v>
      </c>
      <c r="AL7" s="6"/>
      <c r="AM7" s="54" t="s">
        <v>249</v>
      </c>
      <c r="AN7" s="66">
        <f>CS20</f>
        <v>0</v>
      </c>
      <c r="AO7" s="66">
        <f>CS21</f>
        <v>0</v>
      </c>
      <c r="AP7" s="66">
        <f>CS22</f>
        <v>0</v>
      </c>
      <c r="AQ7" s="66">
        <f>CS23</f>
        <v>0</v>
      </c>
      <c r="AR7" s="56" t="s">
        <v>117</v>
      </c>
      <c r="AT7" s="90" t="s">
        <v>217</v>
      </c>
      <c r="AU7" s="15">
        <f t="shared" si="11"/>
        <v>189</v>
      </c>
      <c r="AV7" s="15">
        <f t="shared" si="7"/>
        <v>189</v>
      </c>
      <c r="AW7" s="15">
        <f t="shared" si="7"/>
        <v>189</v>
      </c>
      <c r="AX7" s="15">
        <f t="shared" si="7"/>
        <v>0</v>
      </c>
      <c r="AY7" s="15">
        <f t="shared" si="7"/>
        <v>0</v>
      </c>
      <c r="AZ7" s="15">
        <f t="shared" si="7"/>
        <v>400</v>
      </c>
      <c r="BA7" s="15">
        <f t="shared" si="7"/>
        <v>0</v>
      </c>
      <c r="BB7" s="15">
        <f t="shared" si="7"/>
        <v>0</v>
      </c>
      <c r="BC7" s="15">
        <f t="shared" si="7"/>
        <v>0</v>
      </c>
      <c r="BD7" s="15">
        <f t="shared" si="7"/>
        <v>0</v>
      </c>
      <c r="BE7" s="15">
        <f t="shared" si="7"/>
        <v>0</v>
      </c>
      <c r="BF7" s="15">
        <f t="shared" si="7"/>
        <v>0</v>
      </c>
      <c r="BG7" s="56"/>
      <c r="BH7" s="56"/>
      <c r="BI7" s="1" t="s">
        <v>184</v>
      </c>
      <c r="BJ7" s="1" t="s">
        <v>290</v>
      </c>
      <c r="BK7" s="1" t="s">
        <v>250</v>
      </c>
      <c r="BL7" s="4" t="s">
        <v>251</v>
      </c>
      <c r="BM7" s="1" t="s">
        <v>290</v>
      </c>
      <c r="BP7" s="4" t="s">
        <v>252</v>
      </c>
      <c r="BQ7" s="4"/>
      <c r="BR7" s="6" t="str">
        <f t="shared" si="8"/>
        <v>Classic Maple 14x20 Bass Drum</v>
      </c>
      <c r="BS7" s="4" t="s">
        <v>252</v>
      </c>
      <c r="BT7" s="71"/>
      <c r="BV7" s="6" t="str">
        <f t="shared" si="12"/>
        <v>Legacy Maple 14x20 Bass Drum</v>
      </c>
      <c r="BW7" s="4" t="s">
        <v>252</v>
      </c>
      <c r="BX7" s="67"/>
      <c r="BZ7" s="6" t="str">
        <f t="shared" si="9"/>
        <v>Legacy Mahogany 14x20 Bass Drum</v>
      </c>
      <c r="CA7" s="4" t="s">
        <v>252</v>
      </c>
      <c r="CB7" s="67"/>
      <c r="CC7" s="9"/>
      <c r="CD7" s="6" t="str">
        <f t="shared" si="13"/>
        <v>Legacy Exotic 14x20 Bass Drum</v>
      </c>
      <c r="CE7" s="4" t="s">
        <v>252</v>
      </c>
      <c r="CF7" s="70"/>
      <c r="CG7" s="23" t="s">
        <v>253</v>
      </c>
      <c r="CH7" s="4" t="s">
        <v>252</v>
      </c>
      <c r="CI7" s="70"/>
      <c r="CJ7" s="4"/>
      <c r="CK7" s="90"/>
      <c r="CL7" s="157"/>
      <c r="CM7" s="157"/>
      <c r="CN7" s="157"/>
      <c r="CO7" s="157"/>
      <c r="CP7" s="157"/>
      <c r="CQ7" s="70"/>
      <c r="CS7" s="157"/>
      <c r="CT7" s="70"/>
      <c r="CU7" s="4">
        <f t="shared" si="1"/>
        <v>0</v>
      </c>
      <c r="CV7" s="93" t="s">
        <v>254</v>
      </c>
      <c r="CW7" s="93" t="s">
        <v>255</v>
      </c>
      <c r="CX7" s="93" t="s">
        <v>256</v>
      </c>
      <c r="CY7" s="93" t="s">
        <v>257</v>
      </c>
      <c r="CZ7" s="93" t="s">
        <v>258</v>
      </c>
      <c r="DA7" s="70"/>
      <c r="DB7" s="13" t="s">
        <v>52</v>
      </c>
      <c r="DC7" s="16" t="str">
        <f t="shared" si="2"/>
        <v>Bass.12x26 Bass Drum</v>
      </c>
      <c r="DD7" s="4" t="s">
        <v>259</v>
      </c>
      <c r="DE7" s="69" t="str">
        <f t="shared" si="3"/>
        <v>MLLCLL</v>
      </c>
      <c r="DF7" s="13" t="s">
        <v>78</v>
      </c>
      <c r="DG7" s="13" t="s">
        <v>79</v>
      </c>
      <c r="DH7" s="13" t="s">
        <v>69</v>
      </c>
      <c r="DI7" s="13"/>
      <c r="DK7" s="13"/>
      <c r="DL7" s="13"/>
      <c r="DM7" s="13"/>
      <c r="DN7" s="13">
        <f t="shared" si="4"/>
        <v>0</v>
      </c>
      <c r="DO7" s="25" t="s">
        <v>139</v>
      </c>
      <c r="DP7" s="13"/>
      <c r="DR7" t="s">
        <v>260</v>
      </c>
      <c r="DS7" s="66">
        <f>CS122</f>
        <v>0</v>
      </c>
      <c r="DT7" s="71" t="s">
        <v>261</v>
      </c>
      <c r="DU7" s="13">
        <f t="shared" si="10"/>
        <v>0</v>
      </c>
      <c r="DV7" s="25" t="s">
        <v>195</v>
      </c>
      <c r="DW7" t="str">
        <f>IF(FD10=1, "LAP2984MT CHROME Atlas Double", "LAP2984MT Atlas Double")</f>
        <v>LAP2984MT Atlas Double</v>
      </c>
      <c r="DX7" s="66">
        <f t="shared" si="5"/>
        <v>0</v>
      </c>
      <c r="DY7" s="71" t="s">
        <v>262</v>
      </c>
      <c r="DZ7" s="13">
        <v>12</v>
      </c>
      <c r="EA7" s="13"/>
      <c r="EB7" s="13">
        <f t="shared" si="6"/>
        <v>0</v>
      </c>
      <c r="EC7" s="71" t="s">
        <v>263</v>
      </c>
      <c r="ED7" s="26"/>
      <c r="EE7" s="26"/>
      <c r="EI7" s="26" t="s">
        <v>115</v>
      </c>
      <c r="EJ7" s="26" t="s">
        <v>264</v>
      </c>
      <c r="EK7" s="26" t="s">
        <v>155</v>
      </c>
      <c r="EL7" s="26" t="s">
        <v>265</v>
      </c>
      <c r="EM7" s="26" t="s">
        <v>266</v>
      </c>
      <c r="EN7" s="26" t="s">
        <v>267</v>
      </c>
      <c r="EO7" s="26" t="s">
        <v>268</v>
      </c>
      <c r="EP7" s="26" t="s">
        <v>269</v>
      </c>
      <c r="ER7" t="s">
        <v>13</v>
      </c>
      <c r="ES7" t="s">
        <v>270</v>
      </c>
      <c r="ET7" s="7" t="s">
        <v>228</v>
      </c>
      <c r="EU7" s="26"/>
      <c r="EV7" s="7"/>
      <c r="EW7" t="s">
        <v>271</v>
      </c>
      <c r="EX7" s="27"/>
      <c r="EY7" s="18"/>
      <c r="FA7" s="90" t="s">
        <v>272</v>
      </c>
      <c r="FB7" s="13" t="s">
        <v>273</v>
      </c>
      <c r="FC7" s="13" t="s">
        <v>274</v>
      </c>
      <c r="FD7" s="207" t="s">
        <v>275</v>
      </c>
      <c r="FJ7" s="13" t="s">
        <v>276</v>
      </c>
      <c r="FK7" s="40">
        <v>7</v>
      </c>
      <c r="FL7" s="48" t="s">
        <v>277</v>
      </c>
      <c r="FM7" s="41" t="str">
        <f t="shared" ref="FM7:FR7" si="14">B7</f>
        <v>Type</v>
      </c>
      <c r="FN7" s="41" t="str">
        <f t="shared" ca="1" si="14"/>
        <v>Size</v>
      </c>
      <c r="FO7" s="41">
        <f t="shared" si="14"/>
        <v>0</v>
      </c>
      <c r="FP7" s="41" t="str">
        <f t="shared" ca="1" si="14"/>
        <v>Lugs</v>
      </c>
      <c r="FQ7" s="41">
        <f t="shared" si="14"/>
        <v>0</v>
      </c>
      <c r="FR7" s="42" t="str">
        <f t="shared" ca="1" si="14"/>
        <v>Mounts</v>
      </c>
      <c r="FU7" t="s">
        <v>278</v>
      </c>
      <c r="FV7" t="s">
        <v>279</v>
      </c>
      <c r="FW7" t="s">
        <v>280</v>
      </c>
      <c r="FX7" s="71" t="s">
        <v>281</v>
      </c>
      <c r="FY7" s="71" t="s">
        <v>282</v>
      </c>
      <c r="FZ7" s="71" t="s">
        <v>283</v>
      </c>
      <c r="GA7" s="71" t="s">
        <v>284</v>
      </c>
      <c r="GB7" s="71" t="s">
        <v>34</v>
      </c>
      <c r="GC7" s="116" t="s">
        <v>285</v>
      </c>
      <c r="GD7" s="117" t="s">
        <v>286</v>
      </c>
      <c r="GE7" s="118" t="s">
        <v>287</v>
      </c>
      <c r="GF7" s="43"/>
      <c r="GG7" s="11" t="s">
        <v>288</v>
      </c>
      <c r="GH7" s="15">
        <f>COUNTIF($C$8:$C$20,GG7)</f>
        <v>0</v>
      </c>
      <c r="GI7" s="43"/>
      <c r="GJ7" s="43"/>
      <c r="GS7" s="58" t="s">
        <v>42</v>
      </c>
      <c r="GT7" s="88" t="str">
        <f>IF($C8="","",$C$2)</f>
        <v/>
      </c>
      <c r="GU7" s="88" t="str">
        <f>IF($C9="","",$C$2)</f>
        <v/>
      </c>
      <c r="GV7" s="88" t="str">
        <f>IF($C10="","",$C$2)</f>
        <v/>
      </c>
      <c r="GW7" s="88" t="str">
        <f>IF($C11="","",$C$2)</f>
        <v/>
      </c>
      <c r="GX7" s="88" t="str">
        <f>IF($C12="","",$C$2)</f>
        <v/>
      </c>
      <c r="GY7" s="88" t="str">
        <f>IF($C13="","",$C$2)</f>
        <v/>
      </c>
      <c r="GZ7" s="88" t="str">
        <f>IF($C14="","",$C$2)</f>
        <v/>
      </c>
      <c r="HA7" s="62" t="str">
        <f>IF($C15="","",$C$2)</f>
        <v/>
      </c>
      <c r="HB7" s="62" t="str">
        <f>IF($C16="","",$C$2)</f>
        <v/>
      </c>
      <c r="HC7" s="62" t="str">
        <f>IF($C17="","",$C$2)</f>
        <v/>
      </c>
      <c r="HD7" s="62" t="str">
        <f>IF($C18="","",$C$2)</f>
        <v/>
      </c>
      <c r="HE7" s="62" t="str">
        <f>IF($C19="","",$C$2)</f>
        <v/>
      </c>
      <c r="HF7" s="62" t="str">
        <f>IF($C20="","",$C$2)</f>
        <v/>
      </c>
    </row>
    <row r="8" spans="1:215" ht="15.6" x14ac:dyDescent="0.3">
      <c r="A8" s="138">
        <v>1</v>
      </c>
      <c r="B8" s="139"/>
      <c r="C8" s="139"/>
      <c r="D8" s="184"/>
      <c r="E8" s="139"/>
      <c r="F8" s="184"/>
      <c r="G8" s="140"/>
      <c r="H8" s="71" t="str">
        <f>IF(OR($C$2="",B8="",C8="", E8="", G8=""),"",CONCATENATE(INDEX($BR$1:$DB$81,MATCH(C8,CU:CU,0),MATCH(CONCATENATE($C$2," Codif"),$BR$1:$DB$1,0)), INDEX($DW$3:$DY$36, MATCH(G8,$DW$3:$DW$40,0),3), LEFT($C$3,2), INDEX($DR$3:$DT$23, MATCH(CONCATENATE(B8," ",E8),$DR$3:$DR$23,0),3), " Cstm"))</f>
        <v/>
      </c>
      <c r="I8" s="184"/>
      <c r="J8" s="184"/>
      <c r="L8" s="184"/>
      <c r="M8" s="185"/>
      <c r="P8" s="195">
        <f t="shared" ref="P8:P20" si="15">IFERROR(INDEX($CU:$DB,MATCH($AA8,$CU:$CU,0),MATCH("Retail",$CU$107:$DC$107,0)),0)</f>
        <v>0</v>
      </c>
      <c r="Q8" s="195">
        <f t="shared" ref="Q8:Q20" si="16">IFERROR(INDEX($CU:$DF,MATCH($AA8,$CU:$CU,0),MATCH($L$1,$CU$105:$DF$105,0)),0)</f>
        <v>0</v>
      </c>
      <c r="R8" s="195">
        <f t="shared" ref="R8:R20" si="17">IFERROR(INDEX($CU:$DG,MATCH($AA8,$CU:$CU,0),MATCH("MAP",$CU$107:$DG$107,0)),0)</f>
        <v>0</v>
      </c>
      <c r="S8" s="189">
        <f>IF($B8=$S$7,SUM(#REF!),0)</f>
        <v>0</v>
      </c>
      <c r="T8" s="189">
        <f>IF($B8=$T$7,SUM(#REF!),0)</f>
        <v>0</v>
      </c>
      <c r="U8" s="189">
        <f>IF($B8=$U$7,SUM(#REF!),0)</f>
        <v>0</v>
      </c>
      <c r="V8" s="189">
        <f>IF($B8=$V$7, SUM(#REF!),0)</f>
        <v>0</v>
      </c>
      <c r="W8" s="189" t="e">
        <f t="shared" ref="W8:W20" si="18">IFERROR(IF(B8="",0, INDEX($CR$55:$CS$73,MATCH(CONCATENATE($C$2," ",$C$4),$CR$55:$CR$73,0),2)),0)*Q8/P8</f>
        <v>#DIV/0!</v>
      </c>
      <c r="X8" s="44">
        <f t="shared" ref="X8:X20" ca="1" si="19">(IF(B8="",0,IF(AND(B8&lt;&gt;"",AND(C8&lt;&gt;"",E8&lt;&gt;"",G8&lt;&gt;"")),0,1)))*Y8</f>
        <v>0</v>
      </c>
      <c r="Y8" s="13">
        <f ca="1">IF($X$5=8,0,1)</f>
        <v>0</v>
      </c>
      <c r="AA8" s="127" t="e">
        <f t="shared" ref="AA8:AA20" si="20">CONCATENATE(INDEX($AB$10:$AE$13,MATCH($B8,$AE$10:$AE$13,0),1)," ",INDEX($AC$3:$AE$7,MATCH($C$2,$AE$3:$AE$7,0),1)," ",$CK$1)</f>
        <v>#N/A</v>
      </c>
      <c r="AG8" s="56" t="s">
        <v>250</v>
      </c>
      <c r="AH8" s="66" t="s">
        <v>113</v>
      </c>
      <c r="AI8" s="26" t="s">
        <v>114</v>
      </c>
      <c r="AJ8" s="104" t="s">
        <v>115</v>
      </c>
      <c r="AK8" s="105" t="s">
        <v>250</v>
      </c>
      <c r="AL8" s="6"/>
      <c r="AM8" s="54" t="s">
        <v>289</v>
      </c>
      <c r="AN8" s="66">
        <f>CS25</f>
        <v>0</v>
      </c>
      <c r="AO8" s="66">
        <f>CS26</f>
        <v>0</v>
      </c>
      <c r="AP8" s="66">
        <f>CS27</f>
        <v>0</v>
      </c>
      <c r="AQ8" s="66">
        <f>CS28</f>
        <v>0</v>
      </c>
      <c r="AR8" s="56" t="s">
        <v>117</v>
      </c>
      <c r="AT8" s="90" t="s">
        <v>253</v>
      </c>
      <c r="AU8" s="15">
        <f t="shared" si="11"/>
        <v>189</v>
      </c>
      <c r="AV8" s="15">
        <f t="shared" si="7"/>
        <v>189</v>
      </c>
      <c r="AW8" s="15">
        <f t="shared" si="7"/>
        <v>189</v>
      </c>
      <c r="AX8" s="15">
        <f t="shared" si="7"/>
        <v>0</v>
      </c>
      <c r="AY8" s="15">
        <f t="shared" si="7"/>
        <v>0</v>
      </c>
      <c r="AZ8" s="15">
        <f t="shared" si="7"/>
        <v>400</v>
      </c>
      <c r="BA8" s="15">
        <f t="shared" si="7"/>
        <v>0</v>
      </c>
      <c r="BB8" s="15">
        <f t="shared" si="7"/>
        <v>0</v>
      </c>
      <c r="BC8" s="15">
        <f t="shared" si="7"/>
        <v>0</v>
      </c>
      <c r="BD8" s="15">
        <f t="shared" si="7"/>
        <v>0</v>
      </c>
      <c r="BE8" s="15">
        <f t="shared" si="7"/>
        <v>0</v>
      </c>
      <c r="BF8" s="15">
        <f t="shared" si="7"/>
        <v>0</v>
      </c>
      <c r="BG8" s="56"/>
      <c r="BH8" s="56"/>
      <c r="BI8" s="1" t="s">
        <v>153</v>
      </c>
      <c r="BJ8" s="1" t="s">
        <v>309</v>
      </c>
      <c r="BK8" s="1" t="s">
        <v>290</v>
      </c>
      <c r="BL8" s="1" t="s">
        <v>291</v>
      </c>
      <c r="BM8" s="1" t="s">
        <v>309</v>
      </c>
      <c r="BP8" s="4" t="s">
        <v>292</v>
      </c>
      <c r="BQ8" s="4"/>
      <c r="BR8" s="6" t="str">
        <f t="shared" si="8"/>
        <v>Classic Maple 16x20 Bass Drum</v>
      </c>
      <c r="BS8" s="4" t="s">
        <v>292</v>
      </c>
      <c r="BT8" s="71"/>
      <c r="BV8" s="6" t="str">
        <f t="shared" si="12"/>
        <v>Legacy Maple 16x20 Bass Drum</v>
      </c>
      <c r="BW8" s="4" t="s">
        <v>292</v>
      </c>
      <c r="BX8" s="67"/>
      <c r="BZ8" s="6" t="str">
        <f t="shared" si="9"/>
        <v>Legacy Mahogany 16x20 Bass Drum</v>
      </c>
      <c r="CA8" s="4" t="s">
        <v>292</v>
      </c>
      <c r="CB8" s="67"/>
      <c r="CC8" s="9"/>
      <c r="CD8" s="6" t="str">
        <f t="shared" si="13"/>
        <v>Legacy Exotic 16x20 Bass Drum</v>
      </c>
      <c r="CE8" s="4" t="s">
        <v>292</v>
      </c>
      <c r="CF8" s="70"/>
      <c r="CG8" s="23" t="s">
        <v>293</v>
      </c>
      <c r="CH8" s="4" t="s">
        <v>292</v>
      </c>
      <c r="CI8" s="70"/>
      <c r="CJ8" s="4"/>
      <c r="CK8" s="90"/>
      <c r="CL8" s="157"/>
      <c r="CM8" s="157"/>
      <c r="CN8" s="157"/>
      <c r="CO8" s="157"/>
      <c r="CP8" s="157"/>
      <c r="CQ8" s="70"/>
      <c r="CS8" s="157"/>
      <c r="CT8" s="70"/>
      <c r="CU8" s="4">
        <f t="shared" si="1"/>
        <v>0</v>
      </c>
      <c r="CV8" s="93" t="s">
        <v>294</v>
      </c>
      <c r="CW8" s="93" t="s">
        <v>295</v>
      </c>
      <c r="CX8" s="93" t="s">
        <v>296</v>
      </c>
      <c r="CY8" s="93" t="s">
        <v>297</v>
      </c>
      <c r="CZ8" s="93" t="s">
        <v>298</v>
      </c>
      <c r="DA8" s="70"/>
      <c r="DB8" s="13" t="s">
        <v>52</v>
      </c>
      <c r="DC8" s="16" t="str">
        <f t="shared" si="2"/>
        <v>Bass.14x18 Bass Drum</v>
      </c>
      <c r="DD8" s="4" t="s">
        <v>159</v>
      </c>
      <c r="DE8" s="69" t="str">
        <f t="shared" si="3"/>
        <v>MLLCLL</v>
      </c>
      <c r="DF8" s="13" t="s">
        <v>78</v>
      </c>
      <c r="DG8" s="13" t="s">
        <v>79</v>
      </c>
      <c r="DH8" s="13" t="s">
        <v>69</v>
      </c>
      <c r="DI8" s="13"/>
      <c r="DK8" s="13"/>
      <c r="DL8" s="13"/>
      <c r="DM8" s="13"/>
      <c r="DN8" s="13">
        <f t="shared" si="4"/>
        <v>0</v>
      </c>
      <c r="DO8" s="25" t="s">
        <v>139</v>
      </c>
      <c r="DP8" s="13"/>
      <c r="DR8" t="s">
        <v>299</v>
      </c>
      <c r="DS8" s="66">
        <f>CS123</f>
        <v>0</v>
      </c>
      <c r="DU8" s="13">
        <f t="shared" si="10"/>
        <v>0</v>
      </c>
      <c r="DW8" t="str">
        <f>IF(FD10=1, "LAP2985MT CHROME Atlas Single",  "LAP2985MT Atlas Single")</f>
        <v>LAP2985MT Atlas Single</v>
      </c>
      <c r="DX8" s="66">
        <f t="shared" si="5"/>
        <v>0</v>
      </c>
      <c r="DY8" s="71" t="s">
        <v>300</v>
      </c>
      <c r="DZ8" s="13">
        <v>12</v>
      </c>
      <c r="EA8" s="13"/>
      <c r="EB8" s="13">
        <f t="shared" si="6"/>
        <v>0</v>
      </c>
      <c r="EC8" s="16"/>
      <c r="ED8" s="26"/>
      <c r="EE8" s="26"/>
      <c r="EF8" s="4"/>
      <c r="EI8" s="24" t="s">
        <v>301</v>
      </c>
      <c r="EJ8" s="24" t="s">
        <v>114</v>
      </c>
      <c r="EK8" s="24" t="s">
        <v>114</v>
      </c>
      <c r="EL8" s="24" t="s">
        <v>302</v>
      </c>
      <c r="EM8" s="24" t="s">
        <v>303</v>
      </c>
      <c r="EN8" s="24" t="s">
        <v>304</v>
      </c>
      <c r="EO8" s="24" t="s">
        <v>302</v>
      </c>
      <c r="EP8" s="75" t="s">
        <v>303</v>
      </c>
      <c r="ER8" t="s">
        <v>14</v>
      </c>
      <c r="ES8" t="s">
        <v>305</v>
      </c>
      <c r="ET8" s="7" t="s">
        <v>228</v>
      </c>
      <c r="EU8" s="26"/>
      <c r="EV8" s="7"/>
      <c r="EW8" s="81">
        <f t="shared" ref="EW8:EW20" si="21">IF(AND(B8 = "Bass",OR(E8="Large Twin", E8 = "Large Imperial")),1,0)</f>
        <v>0</v>
      </c>
      <c r="EX8" s="27"/>
      <c r="EY8" s="18"/>
      <c r="EZ8">
        <v>1</v>
      </c>
      <c r="FA8" s="43">
        <f>B8</f>
        <v>0</v>
      </c>
      <c r="FB8" s="13" t="str">
        <f t="shared" ref="FB8:FB20" si="22">IF(FA8="Bass",INDEX($CU$2:$DO$23,MATCH(C8,$CU$2:$CU$23,0),21),"")</f>
        <v/>
      </c>
      <c r="FC8" s="13" t="str">
        <f t="shared" ref="FC8:FC14" si="23">IF(B8="Bass",E8,"")</f>
        <v/>
      </c>
      <c r="FD8" s="13" t="str">
        <f>IF($G$30="Single","Single","Double")</f>
        <v>Double</v>
      </c>
      <c r="FJ8" s="13">
        <f t="shared" ref="FJ8:FJ20" si="24">IF(B8="",0,FL8)</f>
        <v>0</v>
      </c>
      <c r="FK8" s="40">
        <v>8</v>
      </c>
      <c r="FL8" s="13">
        <f t="shared" ref="FL8:FL20" si="25">A8</f>
        <v>1</v>
      </c>
      <c r="FM8">
        <f t="shared" ref="FM8:FM20" si="26">B8</f>
        <v>0</v>
      </c>
      <c r="FN8">
        <f t="shared" ref="FN8:FN20" si="27">C8</f>
        <v>0</v>
      </c>
      <c r="FO8" s="35">
        <f t="shared" ref="FO8:FO21" si="28">D8</f>
        <v>0</v>
      </c>
      <c r="FP8">
        <f t="shared" ref="FP8:FP20" si="29">E8</f>
        <v>0</v>
      </c>
      <c r="FQ8" s="35">
        <f t="shared" ref="FQ8:FQ20" si="30">F8</f>
        <v>0</v>
      </c>
      <c r="FR8" s="36">
        <f t="shared" ref="FR8:FR20" si="31">G8</f>
        <v>0</v>
      </c>
      <c r="FS8" s="98" t="str">
        <f t="shared" ref="FS8:FS20" si="32">CONCATENATE(B8," ",E8)</f>
        <v xml:space="preserve"> </v>
      </c>
      <c r="FU8" s="44">
        <f t="shared" ref="FU8:FU20" ca="1" si="33">IF(C8="",0,IF(ISERROR(MATCH(C8,INDIRECT(CONCATENATE(INDEX($AE$3:$AF$7,MATCH($C$2,$AE$3:$AE$7,0),2),"_",B8,"_Size")),0))=FALSE,0,1))</f>
        <v>0</v>
      </c>
      <c r="FV8" s="44" t="str">
        <f t="shared" ref="FV8:FV20" ca="1" si="34">IF(E8="","", IF(COUNTIF(INDIRECT(INDEX($DD$2:$DE$74,MATCH(C8,$DD$2:$DD$74,0),2)),E8)&gt;0,0,1) )</f>
        <v/>
      </c>
      <c r="FW8" s="44" t="str">
        <f t="shared" ref="FW8:FW20" ca="1" si="35">IF(G8="","", IF(COUNTIF( INDIRECT(GB8),G8)&gt;0,0,1))</f>
        <v/>
      </c>
      <c r="FX8" s="71" t="str">
        <f t="shared" ref="FX8:FX20" si="36">IF(AND($B8="Bass", OR(E8="Large Imperial",E8 = "Large Twin")),"CD_Bass_Mounts", IF(AND($B8="Bass",$E8="Mach Lugs"),"LL_Bass_Mounts", IF(B8="Bass","Bass_Mounts","")))</f>
        <v/>
      </c>
      <c r="FY8" s="71" t="str">
        <f t="shared" ref="FY8:FY20" si="37">IF(AND($B8="Floor", OR(E8="Large Imperial",E8 = "Large Twin",E8 = "Mach Lugs")),"LL_Floor_Mounts", IF(B8="Floor","Floor_Mounts",""))</f>
        <v/>
      </c>
      <c r="FZ8" s="71" t="str">
        <f t="shared" ref="FZ8:FZ20" si="38">IF(B8="Tom",CONCATENATE(INDEX($DD$34:$DN$62, MATCH(C8,$DD$34:$DD$62,0),11),".", INDEX($DS$66:$DT$70,MATCH(E8,$DS$66:$DS$70,0), 2)),"")</f>
        <v/>
      </c>
      <c r="GA8" s="71" t="str">
        <f t="shared" ref="GA8:GA20" si="39">IF(B8="Snare",INDEX($DT$43:$DU$54,MATCH(C8, $DT$43:$DT$54,0),2),"")</f>
        <v/>
      </c>
      <c r="GB8" s="71" t="str">
        <f t="shared" ref="GB8:GB20" si="40">CONCATENATE(FX8,FY8,FZ8,GA8)</f>
        <v/>
      </c>
      <c r="GC8" s="119" t="str">
        <f t="shared" ref="GC8:GC20" si="41">IF($C$2 = "Classic Maple", IF(AND($B8="Tom", OR($E8="Small Twin",$E8="Small Imperial",$E8="Mach Lugs")),"TT_Double", IF(AND($B8="Tom",OR($E8 ="Mini Classic",$E8 = "Large Classic")),"TT_Choice","")),"TT_Double")</f>
        <v>TT_Double</v>
      </c>
      <c r="GD8" s="43" t="str">
        <f t="shared" ref="GD8:GD20" si="42">IF($C$2 = "Classic Maple", IF(AND($B8="Floor", OR($E8="Large Twin",$E8="Large Imperial",$E8="Mach Lugs",$G8="PM0046  Atlas Brkts/Legs")),"FT_Double", IF(AND($B8="Floor",OR($E8 ="Mini Classic",$E8 = "Large Classic")),"FT_Choice","")),"FT_Double")</f>
        <v>FT_Double</v>
      </c>
      <c r="GE8" s="120" t="str">
        <f t="shared" ref="GE8:GE20" si="43">IF($C$2 = "Classic Maple", IF(AND($B8="Bass", OR($E8="Large Twin",$E8="Large Imperial",$E8="Mach Lugs",$G$24 = "Atlas Anchor")),"BD_Double", IF(AND($B8="Bass",OR($E8 ="Mini Classic",$E8 = "Large Classic")),"BD_Choice","")),"BD_Double")</f>
        <v>BD_Double</v>
      </c>
      <c r="GF8" s="43"/>
      <c r="GG8" s="43"/>
      <c r="GH8" s="43"/>
      <c r="GI8" s="43"/>
      <c r="GJ8" s="43"/>
      <c r="GS8" s="58" t="s">
        <v>74</v>
      </c>
      <c r="GT8" s="89" t="str">
        <f>IF(B8="","",$B8)</f>
        <v/>
      </c>
      <c r="GU8" s="89" t="str">
        <f>IF(B9="","",$B9)</f>
        <v/>
      </c>
      <c r="GV8" s="89" t="str">
        <f>IF(B10="","",B10)</f>
        <v/>
      </c>
      <c r="GW8" s="89" t="str">
        <f>IF(B11="","",B11)</f>
        <v/>
      </c>
      <c r="GX8" s="89" t="str">
        <f>IF(B12="","",B12)</f>
        <v/>
      </c>
      <c r="GY8" s="89" t="str">
        <f>IF(B13="","",B13)</f>
        <v/>
      </c>
      <c r="GZ8" s="89" t="str">
        <f>IF(B14="","",B14)</f>
        <v/>
      </c>
      <c r="HA8" s="64" t="str">
        <f>IF(B15="","",B15)</f>
        <v/>
      </c>
      <c r="HB8" s="64" t="str">
        <f>IF(B16="","",B16)</f>
        <v/>
      </c>
      <c r="HC8" s="64" t="str">
        <f>IF(B17="","",B17)</f>
        <v/>
      </c>
      <c r="HD8" s="64" t="str">
        <f>IF(B18="","",B18)</f>
        <v/>
      </c>
      <c r="HE8" s="64" t="str">
        <f>IF(B19="","",B19)</f>
        <v/>
      </c>
      <c r="HF8" s="64" t="str">
        <f>IF(B20="","",B20)</f>
        <v/>
      </c>
    </row>
    <row r="9" spans="1:215" ht="15.6" x14ac:dyDescent="0.3">
      <c r="A9" s="138">
        <v>1</v>
      </c>
      <c r="B9" s="139"/>
      <c r="C9" s="139"/>
      <c r="D9" s="184"/>
      <c r="E9" s="139"/>
      <c r="F9" s="184"/>
      <c r="G9" s="140"/>
      <c r="H9" s="71" t="str">
        <f>IF(OR($C$2="",B9="",C9="", E9="", G9=""),"",CONCATENATE(INDEX($BR$1:$DB$81,MATCH(C9,CU:CU,0),MATCH(CONCATENATE($C$2," Codif"),$BR$1:$DB$1,0)), INDEX($DW$3:$DY$36, MATCH(G9,$DW$3:$DW$40,0),3), LEFT($C$3,2), INDEX($DR$3:$DT$23, MATCH(CONCATENATE(B9," ",E9),$DR$3:$DR$23,0),3), " Cstm"))</f>
        <v/>
      </c>
      <c r="I9" s="184"/>
      <c r="J9" s="184"/>
      <c r="L9" s="184"/>
      <c r="M9" s="185"/>
      <c r="P9" s="195">
        <f t="shared" si="15"/>
        <v>0</v>
      </c>
      <c r="Q9" s="195">
        <f t="shared" si="16"/>
        <v>0</v>
      </c>
      <c r="R9" s="195">
        <f t="shared" si="17"/>
        <v>0</v>
      </c>
      <c r="S9" s="189">
        <f>IF($B9=$S$7,SUM(#REF!),0)</f>
        <v>0</v>
      </c>
      <c r="T9" s="189">
        <f>IF($B9=$T$7,SUM(#REF!),0)</f>
        <v>0</v>
      </c>
      <c r="U9" s="189">
        <f>IF($B9=$U$7,SUM(#REF!),0)</f>
        <v>0</v>
      </c>
      <c r="V9" s="189">
        <f>IF($B9=$V$7, SUM(#REF!),0)</f>
        <v>0</v>
      </c>
      <c r="W9" s="189" t="e">
        <f t="shared" si="18"/>
        <v>#DIV/0!</v>
      </c>
      <c r="X9" s="44">
        <f t="shared" ca="1" si="19"/>
        <v>0</v>
      </c>
      <c r="Y9" s="13">
        <f ca="1">IF($X$5=9,0,1)</f>
        <v>1</v>
      </c>
      <c r="AA9" s="127" t="e">
        <f t="shared" si="20"/>
        <v>#N/A</v>
      </c>
      <c r="AC9" t="s">
        <v>46</v>
      </c>
      <c r="AD9" s="13" t="s">
        <v>306</v>
      </c>
      <c r="AE9" s="2" t="s">
        <v>74</v>
      </c>
      <c r="AF9" s="2"/>
      <c r="AG9" s="56" t="s">
        <v>307</v>
      </c>
      <c r="AH9" s="66" t="s">
        <v>113</v>
      </c>
      <c r="AI9" s="26" t="s">
        <v>114</v>
      </c>
      <c r="AJ9" s="104" t="s">
        <v>115</v>
      </c>
      <c r="AK9" s="105" t="s">
        <v>307</v>
      </c>
      <c r="AL9" s="6"/>
      <c r="AM9" s="54" t="s">
        <v>308</v>
      </c>
      <c r="AN9" s="66">
        <f>CS29</f>
        <v>0</v>
      </c>
      <c r="AO9" s="66">
        <f>CS30</f>
        <v>0</v>
      </c>
      <c r="AP9" s="66">
        <f>CS31</f>
        <v>0</v>
      </c>
      <c r="AQ9" s="66">
        <f>CS32</f>
        <v>0</v>
      </c>
      <c r="AR9" s="56" t="s">
        <v>117</v>
      </c>
      <c r="AT9" s="90" t="s">
        <v>293</v>
      </c>
      <c r="AU9" s="15">
        <f t="shared" si="11"/>
        <v>189</v>
      </c>
      <c r="AV9" s="15">
        <f t="shared" si="7"/>
        <v>189</v>
      </c>
      <c r="AW9" s="15">
        <f t="shared" si="7"/>
        <v>189</v>
      </c>
      <c r="AX9" s="15">
        <f t="shared" si="7"/>
        <v>0</v>
      </c>
      <c r="AY9" s="15">
        <f t="shared" si="7"/>
        <v>0</v>
      </c>
      <c r="AZ9" s="15">
        <f t="shared" si="7"/>
        <v>400</v>
      </c>
      <c r="BA9" s="15">
        <f t="shared" si="7"/>
        <v>0</v>
      </c>
      <c r="BB9" s="15">
        <f t="shared" si="7"/>
        <v>0</v>
      </c>
      <c r="BC9" s="15">
        <f t="shared" si="7"/>
        <v>0</v>
      </c>
      <c r="BD9" s="15">
        <f t="shared" si="7"/>
        <v>0</v>
      </c>
      <c r="BE9" s="15">
        <f t="shared" si="7"/>
        <v>0</v>
      </c>
      <c r="BF9" s="15">
        <f t="shared" si="7"/>
        <v>0</v>
      </c>
      <c r="BG9" s="56"/>
      <c r="BH9" s="56"/>
      <c r="BI9" s="1" t="s">
        <v>215</v>
      </c>
      <c r="BJ9" s="1" t="s">
        <v>327</v>
      </c>
      <c r="BK9" s="1" t="s">
        <v>309</v>
      </c>
      <c r="BL9" s="4" t="s">
        <v>310</v>
      </c>
      <c r="BM9" s="1" t="s">
        <v>327</v>
      </c>
      <c r="BP9" s="4" t="s">
        <v>311</v>
      </c>
      <c r="BQ9" s="4"/>
      <c r="BR9" s="6" t="str">
        <f t="shared" si="8"/>
        <v>Classic Maple 18x20 Bass Drum</v>
      </c>
      <c r="BS9" s="4" t="s">
        <v>311</v>
      </c>
      <c r="BT9" s="71"/>
      <c r="BV9" s="6" t="str">
        <f t="shared" si="12"/>
        <v>Legacy Maple 18x20 Bass Drum</v>
      </c>
      <c r="BW9" s="4" t="s">
        <v>311</v>
      </c>
      <c r="BX9" s="67"/>
      <c r="BZ9" s="6" t="str">
        <f t="shared" si="9"/>
        <v>Legacy Mahogany 18x20 Bass Drum</v>
      </c>
      <c r="CA9" s="4" t="s">
        <v>311</v>
      </c>
      <c r="CB9" s="67"/>
      <c r="CC9" s="9"/>
      <c r="CD9" s="6" t="str">
        <f t="shared" si="13"/>
        <v>Legacy Exotic 18x20 Bass Drum</v>
      </c>
      <c r="CE9" s="4" t="s">
        <v>311</v>
      </c>
      <c r="CF9" s="70"/>
      <c r="CG9" s="23" t="s">
        <v>312</v>
      </c>
      <c r="CH9" s="4" t="s">
        <v>311</v>
      </c>
      <c r="CI9" s="70"/>
      <c r="CJ9" s="4"/>
      <c r="CK9" s="90"/>
      <c r="CL9" s="157"/>
      <c r="CM9" s="157"/>
      <c r="CN9" s="157"/>
      <c r="CO9" s="157"/>
      <c r="CP9" s="157"/>
      <c r="CQ9" s="70"/>
      <c r="CS9" s="157"/>
      <c r="CT9" s="70"/>
      <c r="CU9" s="4">
        <f t="shared" si="1"/>
        <v>0</v>
      </c>
      <c r="CV9" s="93" t="s">
        <v>313</v>
      </c>
      <c r="CW9" s="93" t="s">
        <v>314</v>
      </c>
      <c r="CX9" s="93" t="s">
        <v>315</v>
      </c>
      <c r="CY9" s="93" t="s">
        <v>316</v>
      </c>
      <c r="CZ9" s="93" t="s">
        <v>317</v>
      </c>
      <c r="DA9" s="70"/>
      <c r="DB9" s="13" t="s">
        <v>52</v>
      </c>
      <c r="DC9" s="16" t="str">
        <f t="shared" si="2"/>
        <v>Bass.14x20 Bass Drum</v>
      </c>
      <c r="DD9" s="4" t="s">
        <v>252</v>
      </c>
      <c r="DE9" s="69" t="str">
        <f t="shared" si="3"/>
        <v>MLLCLLLILT</v>
      </c>
      <c r="DF9" s="13" t="s">
        <v>78</v>
      </c>
      <c r="DG9" s="13" t="s">
        <v>79</v>
      </c>
      <c r="DH9" s="13" t="s">
        <v>69</v>
      </c>
      <c r="DI9" s="13" t="s">
        <v>80</v>
      </c>
      <c r="DJ9" s="13" t="s">
        <v>81</v>
      </c>
      <c r="DK9" s="13"/>
      <c r="DL9" s="13"/>
      <c r="DM9" s="13"/>
      <c r="DN9" s="13">
        <f t="shared" si="4"/>
        <v>0</v>
      </c>
      <c r="DO9" s="25" t="s">
        <v>139</v>
      </c>
      <c r="DP9" s="13"/>
      <c r="DR9" t="s">
        <v>318</v>
      </c>
      <c r="DS9" s="66">
        <f>CS124</f>
        <v>0</v>
      </c>
      <c r="DT9" s="71" t="s">
        <v>168</v>
      </c>
      <c r="DU9" s="13">
        <f t="shared" si="10"/>
        <v>0</v>
      </c>
      <c r="DW9" t="str">
        <f>IF(FD14=1, "LAC2983MT CHROME Atlas Arch",  "LAC2983MT Atlas Arch Single")</f>
        <v>LAC2983MT Atlas Arch Single</v>
      </c>
      <c r="DX9" s="66">
        <f t="shared" si="5"/>
        <v>0</v>
      </c>
      <c r="DY9" s="71" t="s">
        <v>319</v>
      </c>
      <c r="DZ9" s="13">
        <v>12</v>
      </c>
      <c r="EA9" s="13"/>
      <c r="EB9" s="13">
        <f t="shared" si="6"/>
        <v>0</v>
      </c>
      <c r="EC9" s="16"/>
      <c r="ED9" s="26"/>
      <c r="EE9" s="26"/>
      <c r="EF9" s="24"/>
      <c r="EH9" s="24"/>
      <c r="EI9" s="24" t="s">
        <v>320</v>
      </c>
      <c r="EJ9" s="24" t="s">
        <v>320</v>
      </c>
      <c r="EK9" s="24" t="s">
        <v>301</v>
      </c>
      <c r="EL9" s="24"/>
      <c r="EM9" s="24" t="s">
        <v>304</v>
      </c>
      <c r="EN9" s="24"/>
      <c r="EO9" s="24" t="s">
        <v>303</v>
      </c>
      <c r="EP9" s="24"/>
      <c r="EQ9" s="4"/>
      <c r="ER9" s="4" t="s">
        <v>15</v>
      </c>
      <c r="ES9" t="s">
        <v>321</v>
      </c>
      <c r="ET9" s="7" t="s">
        <v>201</v>
      </c>
      <c r="EU9" s="26"/>
      <c r="EV9" s="7"/>
      <c r="EW9" s="81">
        <f t="shared" si="21"/>
        <v>0</v>
      </c>
      <c r="EX9" s="27"/>
      <c r="EY9" s="18"/>
      <c r="EZ9">
        <v>2</v>
      </c>
      <c r="FA9" s="43">
        <f t="shared" ref="FA9:FA20" si="44">B9</f>
        <v>0</v>
      </c>
      <c r="FB9" s="13" t="str">
        <f t="shared" si="22"/>
        <v/>
      </c>
      <c r="FC9" s="13" t="str">
        <f t="shared" si="23"/>
        <v/>
      </c>
      <c r="FD9" s="13" t="str">
        <f t="shared" ref="FD9:FD20" si="45">IF(G31="Single","Single","Double")</f>
        <v>Double</v>
      </c>
      <c r="FJ9" s="13">
        <f t="shared" si="24"/>
        <v>0</v>
      </c>
      <c r="FK9" s="40">
        <v>9</v>
      </c>
      <c r="FL9" s="13">
        <f t="shared" si="25"/>
        <v>1</v>
      </c>
      <c r="FM9">
        <f t="shared" si="26"/>
        <v>0</v>
      </c>
      <c r="FN9">
        <f t="shared" si="27"/>
        <v>0</v>
      </c>
      <c r="FO9" s="35">
        <f t="shared" si="28"/>
        <v>0</v>
      </c>
      <c r="FP9">
        <f t="shared" si="29"/>
        <v>0</v>
      </c>
      <c r="FQ9" s="35">
        <f t="shared" si="30"/>
        <v>0</v>
      </c>
      <c r="FR9" s="36">
        <f t="shared" si="31"/>
        <v>0</v>
      </c>
      <c r="FS9" s="98" t="str">
        <f t="shared" si="32"/>
        <v xml:space="preserve"> </v>
      </c>
      <c r="FU9" s="44">
        <f t="shared" ca="1" si="33"/>
        <v>0</v>
      </c>
      <c r="FV9" s="44" t="str">
        <f t="shared" ca="1" si="34"/>
        <v/>
      </c>
      <c r="FW9" s="44" t="str">
        <f t="shared" ca="1" si="35"/>
        <v/>
      </c>
      <c r="FX9" s="71" t="str">
        <f t="shared" si="36"/>
        <v/>
      </c>
      <c r="FY9" s="71" t="str">
        <f t="shared" si="37"/>
        <v/>
      </c>
      <c r="FZ9" s="71" t="str">
        <f t="shared" si="38"/>
        <v/>
      </c>
      <c r="GA9" s="71" t="str">
        <f t="shared" si="39"/>
        <v/>
      </c>
      <c r="GB9" s="71" t="str">
        <f t="shared" si="40"/>
        <v/>
      </c>
      <c r="GC9" s="119" t="str">
        <f t="shared" si="41"/>
        <v>TT_Double</v>
      </c>
      <c r="GD9" s="43" t="str">
        <f t="shared" si="42"/>
        <v>FT_Double</v>
      </c>
      <c r="GE9" s="120" t="str">
        <f t="shared" si="43"/>
        <v>BD_Double</v>
      </c>
      <c r="GF9" s="43"/>
      <c r="GG9" s="4" t="s">
        <v>322</v>
      </c>
      <c r="GH9" s="43">
        <f t="shared" ref="GH9:GH18" si="46">COUNTIF($C$8:$C$20,GG9)</f>
        <v>0</v>
      </c>
      <c r="GI9" s="43"/>
      <c r="GJ9" s="43"/>
      <c r="GS9" s="58" t="s">
        <v>76</v>
      </c>
      <c r="GT9" s="126" t="str">
        <f>IF(C8="","", IF(AND($C$6="Size/Shell Error",D8=0), "Size/Shell Error",C8))</f>
        <v/>
      </c>
      <c r="GU9" s="126" t="str">
        <f>IF($C$9="","", IF(AND($C$6="Size/Shell Error",$D$9=0), "Size/Shell Error",$C$9))</f>
        <v/>
      </c>
      <c r="GV9" s="126" t="str">
        <f>IF($C$10="","", IF(AND($C$6="Size/Shell Error",$D$10=0), "Size/Shell Error",$C$10))</f>
        <v/>
      </c>
      <c r="GW9" s="126" t="str">
        <f>IF($C$11="","", IF(AND($C$6="Size/Shell Error",$D$11=0), "Size/Shell Error",$C$11))</f>
        <v/>
      </c>
      <c r="GX9" s="126" t="str">
        <f>IF($C$12="","", IF(AND($C$6="Size/Shell Error",$D$12=0), "Size/Shell Error",$C$12))</f>
        <v/>
      </c>
      <c r="GY9" s="126" t="str">
        <f>IF($C$13="","", IF(AND($C$6="Size/Shell Error",$D$13=0), "Size/Shell Error",$C$13))</f>
        <v/>
      </c>
      <c r="GZ9" s="126" t="str">
        <f>IF($C$14="","", IF(AND($C$6="Size/Shell Error",$D$14=0), "Size/Shell Error",$C$14))</f>
        <v/>
      </c>
      <c r="HA9" s="127" t="str">
        <f>IF($C$15="","", IF(AND($C$6="Size/Shell Error",$D$15=0), "Size/Shell Error",$C$15))</f>
        <v/>
      </c>
      <c r="HB9" s="127" t="str">
        <f>IF($C$16="","", IF(AND($C$6="Size/Shell Error",$D$16=0), "Size/Shell Error",$C$16))</f>
        <v/>
      </c>
      <c r="HC9" s="127" t="str">
        <f>IF($C$17="","", IF(AND($C$6="Size/Shell Error",$D$17=0), "Size/Shell Error",$C$17))</f>
        <v/>
      </c>
      <c r="HD9" s="127" t="str">
        <f>IF($C$18="","", IF(AND($C$6="Size/Shell Error",$D$18=0), "Size/Shell Error",$C$18))</f>
        <v/>
      </c>
      <c r="HE9" s="127" t="str">
        <f>IF($C$19="","", IF(AND($C$6="Size/Shell Error",$D$19=0), "Size/Shell Error",$C$19))</f>
        <v/>
      </c>
      <c r="HF9" s="127" t="str">
        <f>IF($C$20="","", IF(AND($C$6="Size/Shell Error",$D$20=0), "Size/Shell Error",$C$20))</f>
        <v/>
      </c>
    </row>
    <row r="10" spans="1:215" ht="15.6" x14ac:dyDescent="0.3">
      <c r="A10" s="138">
        <v>1</v>
      </c>
      <c r="B10" s="139"/>
      <c r="C10" s="139"/>
      <c r="D10" s="184"/>
      <c r="E10" s="139"/>
      <c r="F10" s="184"/>
      <c r="G10" s="140"/>
      <c r="H10" s="71" t="str">
        <f>IF(OR($C$2="",B10="",C10="", E10="", G10=""),"",CONCATENATE(INDEX($BR$1:$DB$81,MATCH(C10,CU:CU,0),MATCH(CONCATENATE($C$2," Codif"),$BR$1:$DB$1,0)), INDEX($DW$3:$DY$36, MATCH(G10,$DW$3:$DW$40,0),3), LEFT($C$3,2), INDEX($DR$3:$DT$23, MATCH(CONCATENATE(B10," ",E10),$DR$3:$DR$23,0),3), " Cstm"))</f>
        <v/>
      </c>
      <c r="I10" s="184"/>
      <c r="J10" s="184"/>
      <c r="L10" s="184"/>
      <c r="M10" s="185"/>
      <c r="P10" s="195">
        <f t="shared" si="15"/>
        <v>0</v>
      </c>
      <c r="Q10" s="195">
        <f t="shared" si="16"/>
        <v>0</v>
      </c>
      <c r="R10" s="195">
        <f t="shared" si="17"/>
        <v>0</v>
      </c>
      <c r="S10" s="189">
        <f>IF($B10=$S$7,SUM(#REF!),0)</f>
        <v>0</v>
      </c>
      <c r="T10" s="189">
        <f>IF($B10=$T$7,SUM(#REF!),0)</f>
        <v>0</v>
      </c>
      <c r="U10" s="189">
        <f>IF($B10=$U$7,SUM(#REF!),0)</f>
        <v>0</v>
      </c>
      <c r="V10" s="189">
        <f>IF($B10=$V$7, SUM(#REF!),0)</f>
        <v>0</v>
      </c>
      <c r="W10" s="189" t="e">
        <f t="shared" si="18"/>
        <v>#DIV/0!</v>
      </c>
      <c r="X10" s="44">
        <f t="shared" ca="1" si="19"/>
        <v>0</v>
      </c>
      <c r="Y10" s="13">
        <f ca="1">IF($X$5=10,0,1)</f>
        <v>1</v>
      </c>
      <c r="AA10" s="127" t="e">
        <f t="shared" si="20"/>
        <v>#N/A</v>
      </c>
      <c r="AB10" s="13" t="s">
        <v>323</v>
      </c>
      <c r="AC10" t="s">
        <v>324</v>
      </c>
      <c r="AD10" s="13">
        <f>COUNTIF($B$8:$B$20,AE10)</f>
        <v>0</v>
      </c>
      <c r="AE10" t="s">
        <v>52</v>
      </c>
      <c r="AF10" t="s">
        <v>231</v>
      </c>
      <c r="AG10" s="56" t="s">
        <v>325</v>
      </c>
      <c r="AH10" s="66" t="s">
        <v>113</v>
      </c>
      <c r="AI10" s="26" t="s">
        <v>114</v>
      </c>
      <c r="AJ10" s="104" t="s">
        <v>115</v>
      </c>
      <c r="AK10" s="105" t="s">
        <v>325</v>
      </c>
      <c r="AL10" s="6"/>
      <c r="AM10" s="54" t="s">
        <v>326</v>
      </c>
      <c r="AN10" s="66">
        <f>CS34</f>
        <v>0</v>
      </c>
      <c r="AO10" s="66">
        <f>CS35</f>
        <v>0</v>
      </c>
      <c r="AP10" s="66">
        <f>CS36</f>
        <v>0</v>
      </c>
      <c r="AQ10" s="66">
        <f>CS37</f>
        <v>0</v>
      </c>
      <c r="AR10" s="56" t="s">
        <v>117</v>
      </c>
      <c r="AT10" s="90" t="s">
        <v>312</v>
      </c>
      <c r="AU10" s="15">
        <f t="shared" si="11"/>
        <v>189</v>
      </c>
      <c r="AV10" s="15">
        <f t="shared" si="7"/>
        <v>189</v>
      </c>
      <c r="AW10" s="15">
        <f t="shared" si="7"/>
        <v>189</v>
      </c>
      <c r="AX10" s="15">
        <f t="shared" si="7"/>
        <v>0</v>
      </c>
      <c r="AY10" s="15">
        <f t="shared" si="7"/>
        <v>0</v>
      </c>
      <c r="AZ10" s="15">
        <f t="shared" si="7"/>
        <v>400</v>
      </c>
      <c r="BA10" s="15">
        <f t="shared" si="7"/>
        <v>0</v>
      </c>
      <c r="BB10" s="15">
        <f t="shared" si="7"/>
        <v>0</v>
      </c>
      <c r="BC10" s="15">
        <f t="shared" si="7"/>
        <v>0</v>
      </c>
      <c r="BD10" s="15">
        <f t="shared" si="7"/>
        <v>0</v>
      </c>
      <c r="BE10" s="15">
        <f t="shared" si="7"/>
        <v>0</v>
      </c>
      <c r="BF10" s="15">
        <f t="shared" si="7"/>
        <v>0</v>
      </c>
      <c r="BG10" s="56"/>
      <c r="BH10" s="56"/>
      <c r="BI10" s="1" t="s">
        <v>250</v>
      </c>
      <c r="BJ10" s="1" t="s">
        <v>344</v>
      </c>
      <c r="BK10" s="1" t="s">
        <v>327</v>
      </c>
      <c r="BL10" s="4" t="s">
        <v>328</v>
      </c>
      <c r="BM10" s="1" t="s">
        <v>344</v>
      </c>
      <c r="BP10" s="4" t="s">
        <v>192</v>
      </c>
      <c r="BQ10" s="4"/>
      <c r="BR10" s="6" t="str">
        <f t="shared" si="8"/>
        <v>Classic Maple 12x22 Bass Drum</v>
      </c>
      <c r="BS10" s="4" t="s">
        <v>192</v>
      </c>
      <c r="BT10" s="71"/>
      <c r="BV10" s="6" t="str">
        <f t="shared" si="12"/>
        <v>Legacy Maple 20x20 Bass Drum</v>
      </c>
      <c r="BW10" s="4" t="s">
        <v>329</v>
      </c>
      <c r="BZ10" s="6" t="str">
        <f t="shared" si="9"/>
        <v>Legacy Mahogany 20x20 Bass Drum</v>
      </c>
      <c r="CA10" s="4" t="s">
        <v>329</v>
      </c>
      <c r="CD10" s="6" t="str">
        <f t="shared" si="13"/>
        <v>Legacy Exotic 20x20 Bass Drum</v>
      </c>
      <c r="CE10" s="4" t="s">
        <v>329</v>
      </c>
      <c r="CF10" s="70"/>
      <c r="CG10" s="23" t="s">
        <v>330</v>
      </c>
      <c r="CH10" s="4" t="s">
        <v>192</v>
      </c>
      <c r="CI10" s="70"/>
      <c r="CJ10"/>
      <c r="CK10" s="90"/>
      <c r="CL10" s="157"/>
      <c r="CM10" s="157"/>
      <c r="CN10" s="157"/>
      <c r="CO10" s="157"/>
      <c r="CP10" s="157"/>
      <c r="CQ10" s="70"/>
      <c r="CS10" s="157"/>
      <c r="CT10" s="70"/>
      <c r="CU10" s="4">
        <f t="shared" si="1"/>
        <v>0</v>
      </c>
      <c r="CV10" s="109" t="s">
        <v>332</v>
      </c>
      <c r="CW10" s="93" t="s">
        <v>333</v>
      </c>
      <c r="CX10" s="93" t="s">
        <v>334</v>
      </c>
      <c r="CY10" s="93" t="s">
        <v>335</v>
      </c>
      <c r="CZ10" s="109" t="e">
        <v>#N/A</v>
      </c>
      <c r="DA10" s="70"/>
      <c r="DB10" s="13" t="s">
        <v>52</v>
      </c>
      <c r="DC10" s="16" t="str">
        <f t="shared" si="2"/>
        <v>Bass.14x22 Bass Drum</v>
      </c>
      <c r="DD10" s="4" t="s">
        <v>336</v>
      </c>
      <c r="DE10" s="69" t="str">
        <f t="shared" si="3"/>
        <v>MLLCLLLILT</v>
      </c>
      <c r="DF10" s="13" t="s">
        <v>78</v>
      </c>
      <c r="DG10" s="13" t="s">
        <v>79</v>
      </c>
      <c r="DH10" s="13" t="s">
        <v>69</v>
      </c>
      <c r="DI10" s="13" t="s">
        <v>80</v>
      </c>
      <c r="DJ10" s="13" t="s">
        <v>81</v>
      </c>
      <c r="DK10" s="13"/>
      <c r="DL10" s="13"/>
      <c r="DM10" s="13"/>
      <c r="DN10" s="13">
        <f t="shared" si="4"/>
        <v>0</v>
      </c>
      <c r="DO10" s="25" t="s">
        <v>139</v>
      </c>
      <c r="DP10" s="13"/>
      <c r="DR10" s="197" t="s">
        <v>337</v>
      </c>
      <c r="DS10" s="66">
        <f>CS138</f>
        <v>0</v>
      </c>
      <c r="DT10" s="71" t="s">
        <v>194</v>
      </c>
      <c r="DU10" s="13">
        <f t="shared" si="10"/>
        <v>0</v>
      </c>
      <c r="DW10" s="110" t="str">
        <f>IF(FD21=1, "P7184A CHROME Elite Casting", "P7184A Elite Bass Casting")</f>
        <v>P7184A Elite Bass Casting</v>
      </c>
      <c r="DX10" s="66">
        <f t="shared" si="5"/>
        <v>0</v>
      </c>
      <c r="DY10" s="71" t="s">
        <v>338</v>
      </c>
      <c r="DZ10" s="13">
        <v>0</v>
      </c>
      <c r="EA10" s="13"/>
      <c r="EB10" s="13">
        <f t="shared" si="6"/>
        <v>0</v>
      </c>
      <c r="EC10" s="16" t="s">
        <v>339</v>
      </c>
      <c r="ED10" s="26"/>
      <c r="EE10" s="26"/>
      <c r="EF10" s="24"/>
      <c r="EG10" s="24"/>
      <c r="EH10" s="24"/>
      <c r="EI10" s="24" t="s">
        <v>302</v>
      </c>
      <c r="EJ10" s="24" t="s">
        <v>302</v>
      </c>
      <c r="EK10" s="24" t="s">
        <v>320</v>
      </c>
      <c r="EL10" s="24"/>
      <c r="EN10" s="24"/>
      <c r="EO10" s="24"/>
      <c r="EP10" s="24"/>
      <c r="EQ10" s="24"/>
      <c r="ER10" s="24"/>
      <c r="ES10" s="24"/>
      <c r="EU10" s="26"/>
      <c r="EW10" s="81">
        <f t="shared" si="21"/>
        <v>0</v>
      </c>
      <c r="EX10" s="27"/>
      <c r="EY10" s="18"/>
      <c r="EZ10">
        <v>3</v>
      </c>
      <c r="FA10" s="43">
        <f t="shared" si="44"/>
        <v>0</v>
      </c>
      <c r="FB10" s="13" t="str">
        <f t="shared" si="22"/>
        <v/>
      </c>
      <c r="FC10" s="13" t="str">
        <f t="shared" si="23"/>
        <v/>
      </c>
      <c r="FD10" s="13" t="str">
        <f t="shared" si="45"/>
        <v>Double</v>
      </c>
      <c r="FE10" s="204"/>
      <c r="FF10" s="204"/>
      <c r="FJ10" s="13">
        <f t="shared" si="24"/>
        <v>0</v>
      </c>
      <c r="FK10" s="40">
        <v>10</v>
      </c>
      <c r="FL10" s="13">
        <f t="shared" si="25"/>
        <v>1</v>
      </c>
      <c r="FM10">
        <f t="shared" si="26"/>
        <v>0</v>
      </c>
      <c r="FN10">
        <f t="shared" si="27"/>
        <v>0</v>
      </c>
      <c r="FO10" s="35">
        <f t="shared" si="28"/>
        <v>0</v>
      </c>
      <c r="FP10">
        <f t="shared" si="29"/>
        <v>0</v>
      </c>
      <c r="FQ10" s="35">
        <f t="shared" si="30"/>
        <v>0</v>
      </c>
      <c r="FR10" s="36">
        <f t="shared" si="31"/>
        <v>0</v>
      </c>
      <c r="FS10" s="98" t="str">
        <f t="shared" si="32"/>
        <v xml:space="preserve"> </v>
      </c>
      <c r="FU10" s="44">
        <f t="shared" ca="1" si="33"/>
        <v>0</v>
      </c>
      <c r="FV10" s="44" t="str">
        <f t="shared" ca="1" si="34"/>
        <v/>
      </c>
      <c r="FW10" s="44" t="str">
        <f t="shared" ca="1" si="35"/>
        <v/>
      </c>
      <c r="FX10" s="71" t="str">
        <f t="shared" si="36"/>
        <v/>
      </c>
      <c r="FY10" s="71" t="str">
        <f t="shared" si="37"/>
        <v/>
      </c>
      <c r="FZ10" s="71" t="str">
        <f t="shared" si="38"/>
        <v/>
      </c>
      <c r="GA10" s="71" t="str">
        <f t="shared" si="39"/>
        <v/>
      </c>
      <c r="GB10" s="71" t="str">
        <f t="shared" si="40"/>
        <v/>
      </c>
      <c r="GC10" s="119" t="str">
        <f t="shared" si="41"/>
        <v>TT_Double</v>
      </c>
      <c r="GD10" s="43" t="str">
        <f t="shared" si="42"/>
        <v>FT_Double</v>
      </c>
      <c r="GE10" s="120" t="str">
        <f t="shared" si="43"/>
        <v>BD_Double</v>
      </c>
      <c r="GF10" s="43"/>
      <c r="GG10" s="4" t="s">
        <v>340</v>
      </c>
      <c r="GH10" s="43">
        <f t="shared" si="46"/>
        <v>0</v>
      </c>
      <c r="GI10" s="43"/>
      <c r="GJ10" s="43"/>
      <c r="GS10" s="58" t="s">
        <v>37</v>
      </c>
      <c r="GT10" s="88" t="str">
        <f>IF($B$8="Snare",$ET$26, IF($B$8="Tom",$ET$24, IF($B$8="Floor",$ET$25, IF($B$8="Bass",$ET$23,""))))</f>
        <v/>
      </c>
      <c r="GU10" s="88" t="str">
        <f>IF($B$9="Snare",$ET$26, IF($B$9="Tom",$ET$24, IF($B$9="Floor",$ET$25, IF($B$9="Bass",$ET$23,""))))</f>
        <v/>
      </c>
      <c r="GV10" s="88" t="str">
        <f>IF($B$10="Snare",$ET$26, IF($B$10="Tom",$ET$24, IF($B$10="Floor",$ET$25, IF($B$10="Bass",$ET$23,""))))</f>
        <v/>
      </c>
      <c r="GW10" s="88" t="str">
        <f>IF($B$11="Snare",$ET$26, IF($B$11="Tom",$ET$24, IF($B$11="Floor",$ET$25, IF($B$11="Bass",$ET$23,""))))</f>
        <v/>
      </c>
      <c r="GX10" s="88" t="str">
        <f>IF($B$12="Snare",$ET$26, IF($B$12="Tom",$ET$24, IF($B$12="Floor",$ET$25, IF($B$12="Bass",$ET$23,""))))</f>
        <v/>
      </c>
      <c r="GY10" s="88" t="str">
        <f>IF($B$13="Snare",$ET$26, IF($B$13="Tom",$ET$24, IF($B$13="Floor",$ET$25, IF($B$13="Bass",$ET$23,""))))</f>
        <v/>
      </c>
      <c r="GZ10" s="88" t="str">
        <f>IF($B$14="Snare",$ET$26, IF($B$14="Tom",$ET$24, IF($B$14="Floor",$ET$25, IF($B$14="Bass",$ET$23,""))))</f>
        <v/>
      </c>
      <c r="HA10" s="62" t="str">
        <f>IF($B$15="Snare",$ET$26, IF($B$15="Tom",$ET$24, IF($B$15="Floor",$ET$25, IF($B$15="Bass",$ET$23,""))))</f>
        <v/>
      </c>
      <c r="HB10" s="62" t="str">
        <f>IF($B$16="Snare",$ET$26, IF($B$16="Tom",$ET$24, IF($B$16="Floor",$ET$25, IF($B$16="Bass",$ET$23,""))))</f>
        <v/>
      </c>
      <c r="HC10" s="62" t="str">
        <f>IF($B$17="Snare",$ET$26, IF($B$17="Tom",$ET$24, IF($B$17="Floor",$ET$25, IF($B$17="Bass",$ET$23,""))))</f>
        <v/>
      </c>
      <c r="HD10" s="62" t="str">
        <f>IF($B$18="Snare",$ET$26, IF($B$18="Tom",$ET$24, IF($B$18="Floor",$ET$25, IF($B$18="Bass",$ET$23,""))))</f>
        <v/>
      </c>
      <c r="HE10" s="62" t="str">
        <f>IF($B$19="Snare",$ET$26, IF($B$19="Tom",$ET$24, IF($B$19="Floor",$ET$25, IF($B$19="Bass",$ET$23,""))))</f>
        <v/>
      </c>
      <c r="HF10" s="62" t="str">
        <f>IF($B$20="Snare",$ET$26, IF($B$20="Tom",$ET$24, IF($B$20="Floor",$ET$25, IF($B$20="Bass",$ET$23,""))))</f>
        <v/>
      </c>
    </row>
    <row r="11" spans="1:215" ht="15.6" x14ac:dyDescent="0.3">
      <c r="A11" s="138">
        <v>1</v>
      </c>
      <c r="B11" s="139"/>
      <c r="C11" s="139"/>
      <c r="D11" s="184"/>
      <c r="E11" s="139"/>
      <c r="F11" s="184"/>
      <c r="G11" s="140"/>
      <c r="H11" s="71" t="str">
        <f>IF(OR($C$2="",B11="",C11="", E11="", G11=""),"",CONCATENATE(INDEX($BR$1:$DB$81,MATCH(C11,CU:CU,0),MATCH(CONCATENATE($C$2," Codif"),$BR$1:$DB$1,0)), INDEX($DW$3:$DY$36, MATCH(G11,$DW$3:$DW$40,0),3), LEFT($C$3,2), INDEX($DR$3:$DT$23, MATCH(CONCATENATE(B11," ",E11),$DR$3:$DR$23,0),3), " Cstm"))</f>
        <v/>
      </c>
      <c r="I11" s="184"/>
      <c r="J11" s="184"/>
      <c r="L11" s="184"/>
      <c r="M11" s="185"/>
      <c r="P11" s="195">
        <f t="shared" si="15"/>
        <v>0</v>
      </c>
      <c r="Q11" s="195">
        <f t="shared" si="16"/>
        <v>0</v>
      </c>
      <c r="R11" s="195">
        <f t="shared" si="17"/>
        <v>0</v>
      </c>
      <c r="S11" s="189">
        <f>IF($B11=$S$7,SUM(#REF!),0)</f>
        <v>0</v>
      </c>
      <c r="T11" s="189">
        <f>IF($B11=$T$7,SUM(#REF!),0)</f>
        <v>0</v>
      </c>
      <c r="U11" s="189">
        <f>IF($B11=$U$7,SUM(#REF!),0)</f>
        <v>0</v>
      </c>
      <c r="V11" s="189">
        <f>IF($B11=$V$7, SUM(#REF!),0)</f>
        <v>0</v>
      </c>
      <c r="W11" s="189" t="e">
        <f t="shared" si="18"/>
        <v>#DIV/0!</v>
      </c>
      <c r="X11" s="44">
        <f t="shared" ca="1" si="19"/>
        <v>0</v>
      </c>
      <c r="Y11" s="13">
        <f ca="1">IF($X$5=11,0,1)</f>
        <v>1</v>
      </c>
      <c r="AA11" s="127" t="e">
        <f t="shared" si="20"/>
        <v>#N/A</v>
      </c>
      <c r="AB11" s="13" t="s">
        <v>81</v>
      </c>
      <c r="AC11" t="s">
        <v>341</v>
      </c>
      <c r="AD11" s="13">
        <f>COUNTIF($B$8:$B$20,AE11)</f>
        <v>0</v>
      </c>
      <c r="AE11" t="s">
        <v>54</v>
      </c>
      <c r="AF11" t="s">
        <v>342</v>
      </c>
      <c r="AG11" s="56" t="s">
        <v>290</v>
      </c>
      <c r="AH11" s="66" t="s">
        <v>113</v>
      </c>
      <c r="AI11" s="26" t="s">
        <v>301</v>
      </c>
      <c r="AJ11" s="104" t="s">
        <v>264</v>
      </c>
      <c r="AK11" s="105" t="s">
        <v>290</v>
      </c>
      <c r="AL11" s="6"/>
      <c r="AM11" s="54" t="s">
        <v>343</v>
      </c>
      <c r="AN11" s="66">
        <f>CS38</f>
        <v>0</v>
      </c>
      <c r="AO11" s="66">
        <f>CS39</f>
        <v>0</v>
      </c>
      <c r="AP11" s="66">
        <f>CS40</f>
        <v>0</v>
      </c>
      <c r="AQ11" s="66">
        <f>CS41</f>
        <v>0</v>
      </c>
      <c r="AR11" s="56" t="s">
        <v>117</v>
      </c>
      <c r="AT11" s="90" t="s">
        <v>331</v>
      </c>
      <c r="AU11" s="15">
        <f t="shared" si="11"/>
        <v>9999</v>
      </c>
      <c r="AV11" s="15">
        <f t="shared" si="7"/>
        <v>9999</v>
      </c>
      <c r="AW11" s="15">
        <f t="shared" si="7"/>
        <v>9999</v>
      </c>
      <c r="AX11" s="15">
        <f t="shared" si="7"/>
        <v>9999</v>
      </c>
      <c r="AY11" s="15">
        <f t="shared" si="7"/>
        <v>0</v>
      </c>
      <c r="AZ11" s="15">
        <f t="shared" si="7"/>
        <v>400</v>
      </c>
      <c r="BA11" s="15">
        <f t="shared" si="7"/>
        <v>0</v>
      </c>
      <c r="BB11" s="15">
        <f t="shared" si="7"/>
        <v>0</v>
      </c>
      <c r="BC11" s="15">
        <f t="shared" si="7"/>
        <v>0</v>
      </c>
      <c r="BD11" s="15">
        <f t="shared" si="7"/>
        <v>0</v>
      </c>
      <c r="BE11" s="15">
        <f t="shared" si="7"/>
        <v>9999</v>
      </c>
      <c r="BF11" s="15">
        <f t="shared" si="7"/>
        <v>9999</v>
      </c>
      <c r="BG11" s="56"/>
      <c r="BH11" s="56"/>
      <c r="BI11" s="1" t="s">
        <v>361</v>
      </c>
      <c r="BJ11" s="1" t="s">
        <v>362</v>
      </c>
      <c r="BK11" s="1" t="s">
        <v>344</v>
      </c>
      <c r="BL11" s="4" t="s">
        <v>345</v>
      </c>
      <c r="BM11" s="1" t="s">
        <v>362</v>
      </c>
      <c r="BP11" s="4" t="s">
        <v>336</v>
      </c>
      <c r="BQ11" s="4"/>
      <c r="BR11" s="6" t="str">
        <f t="shared" si="8"/>
        <v>Classic Maple 14x22 Bass Drum</v>
      </c>
      <c r="BS11" s="4" t="s">
        <v>336</v>
      </c>
      <c r="BT11" s="71"/>
      <c r="BV11" s="6" t="str">
        <f t="shared" ref="BV11:BV23" si="47">BW$1&amp;" "&amp;BW11</f>
        <v>Legacy Maple 12x22 Bass Drum</v>
      </c>
      <c r="BW11" s="4" t="s">
        <v>192</v>
      </c>
      <c r="BX11" s="67"/>
      <c r="BZ11" s="6" t="str">
        <f t="shared" ref="BZ11:BZ23" si="48">CA$1&amp;" "&amp;CA11</f>
        <v>Legacy Mahogany 12x22 Bass Drum</v>
      </c>
      <c r="CA11" s="4" t="s">
        <v>192</v>
      </c>
      <c r="CB11" s="67"/>
      <c r="CC11" s="9"/>
      <c r="CD11" s="6" t="str">
        <f t="shared" ref="CD11:CD23" si="49">CE$1&amp;" "&amp;CE11</f>
        <v>Legacy Exotic 12x22 Bass Drum</v>
      </c>
      <c r="CE11" s="4" t="s">
        <v>192</v>
      </c>
      <c r="CF11" s="70"/>
      <c r="CG11" s="23" t="s">
        <v>346</v>
      </c>
      <c r="CH11" s="4" t="s">
        <v>336</v>
      </c>
      <c r="CI11" s="70"/>
      <c r="CJ11" s="4"/>
      <c r="CK11" s="90"/>
      <c r="CL11" s="157"/>
      <c r="CM11" s="157"/>
      <c r="CN11" s="157"/>
      <c r="CO11" s="157"/>
      <c r="CP11" s="157"/>
      <c r="CQ11" s="70"/>
      <c r="CS11" s="157"/>
      <c r="CT11" s="70"/>
      <c r="CU11" s="4">
        <f t="shared" si="1"/>
        <v>0</v>
      </c>
      <c r="CV11" s="93" t="s">
        <v>347</v>
      </c>
      <c r="CW11" s="93" t="s">
        <v>348</v>
      </c>
      <c r="CX11" s="93" t="s">
        <v>349</v>
      </c>
      <c r="CY11" s="93" t="s">
        <v>350</v>
      </c>
      <c r="CZ11" s="93" t="s">
        <v>351</v>
      </c>
      <c r="DA11" s="70"/>
      <c r="DB11" s="13" t="s">
        <v>52</v>
      </c>
      <c r="DC11" s="16" t="str">
        <f t="shared" si="2"/>
        <v>Bass.14x24 Bass Drum</v>
      </c>
      <c r="DD11" s="4" t="s">
        <v>352</v>
      </c>
      <c r="DE11" s="69" t="str">
        <f t="shared" si="3"/>
        <v>MLLCLLLILT</v>
      </c>
      <c r="DF11" s="13" t="s">
        <v>78</v>
      </c>
      <c r="DG11" s="13" t="s">
        <v>79</v>
      </c>
      <c r="DH11" s="13" t="s">
        <v>69</v>
      </c>
      <c r="DI11" s="13" t="s">
        <v>80</v>
      </c>
      <c r="DJ11" s="13" t="s">
        <v>81</v>
      </c>
      <c r="DK11" s="13"/>
      <c r="DL11" s="13"/>
      <c r="DM11" s="13"/>
      <c r="DN11" s="13">
        <f t="shared" si="4"/>
        <v>0</v>
      </c>
      <c r="DO11" s="25" t="s">
        <v>353</v>
      </c>
      <c r="DP11" s="13"/>
      <c r="DR11" t="s">
        <v>354</v>
      </c>
      <c r="DS11" s="66">
        <f>CS125</f>
        <v>0</v>
      </c>
      <c r="DT11" s="71" t="s">
        <v>225</v>
      </c>
      <c r="DU11" s="13">
        <f t="shared" si="10"/>
        <v>0</v>
      </c>
      <c r="DW11" s="110" t="str">
        <f>IF(FD21=1, "LR2991MT CHROME Elite Single", "LR2991MT Elite Single Tom Holder")</f>
        <v>LR2991MT Elite Single Tom Holder</v>
      </c>
      <c r="DX11" s="66">
        <f t="shared" si="5"/>
        <v>0</v>
      </c>
      <c r="DY11" s="71" t="s">
        <v>355</v>
      </c>
      <c r="DZ11" s="13">
        <v>10</v>
      </c>
      <c r="EA11" s="13"/>
      <c r="EB11" s="13">
        <f t="shared" si="6"/>
        <v>0</v>
      </c>
      <c r="EC11" s="16" t="s">
        <v>339</v>
      </c>
      <c r="ED11" s="26"/>
      <c r="EE11" s="26"/>
      <c r="EF11" s="24"/>
      <c r="EG11" s="24"/>
      <c r="EH11" s="24"/>
      <c r="EI11" s="24" t="s">
        <v>356</v>
      </c>
      <c r="EJ11" s="24" t="s">
        <v>356</v>
      </c>
      <c r="EK11" s="24" t="s">
        <v>302</v>
      </c>
      <c r="EL11" s="24"/>
      <c r="EN11" s="24"/>
      <c r="EO11" s="24"/>
      <c r="EP11" s="24"/>
      <c r="EQ11" s="24"/>
      <c r="ER11" s="24"/>
      <c r="ES11" s="24"/>
      <c r="EU11" s="26"/>
      <c r="EW11" s="81">
        <f t="shared" si="21"/>
        <v>0</v>
      </c>
      <c r="EX11" s="27"/>
      <c r="EY11" s="18"/>
      <c r="EZ11">
        <v>4</v>
      </c>
      <c r="FA11" s="43">
        <f t="shared" si="44"/>
        <v>0</v>
      </c>
      <c r="FB11" s="13" t="str">
        <f t="shared" si="22"/>
        <v/>
      </c>
      <c r="FC11" s="13" t="str">
        <f t="shared" si="23"/>
        <v/>
      </c>
      <c r="FD11" s="13" t="str">
        <f t="shared" si="45"/>
        <v>Double</v>
      </c>
      <c r="FF11" s="99"/>
      <c r="FG11" s="7"/>
      <c r="FJ11" s="13">
        <f t="shared" si="24"/>
        <v>0</v>
      </c>
      <c r="FK11" s="40">
        <v>11</v>
      </c>
      <c r="FL11" s="13">
        <f t="shared" si="25"/>
        <v>1</v>
      </c>
      <c r="FM11">
        <f t="shared" si="26"/>
        <v>0</v>
      </c>
      <c r="FN11">
        <f t="shared" si="27"/>
        <v>0</v>
      </c>
      <c r="FO11" s="35">
        <f t="shared" si="28"/>
        <v>0</v>
      </c>
      <c r="FP11">
        <f t="shared" si="29"/>
        <v>0</v>
      </c>
      <c r="FQ11" s="35">
        <f t="shared" si="30"/>
        <v>0</v>
      </c>
      <c r="FR11" s="36">
        <f t="shared" si="31"/>
        <v>0</v>
      </c>
      <c r="FS11" s="98" t="str">
        <f t="shared" si="32"/>
        <v xml:space="preserve"> </v>
      </c>
      <c r="FU11" s="44">
        <f t="shared" ca="1" si="33"/>
        <v>0</v>
      </c>
      <c r="FV11" s="44" t="str">
        <f t="shared" ca="1" si="34"/>
        <v/>
      </c>
      <c r="FW11" s="44" t="str">
        <f t="shared" ca="1" si="35"/>
        <v/>
      </c>
      <c r="FX11" s="71" t="str">
        <f t="shared" si="36"/>
        <v/>
      </c>
      <c r="FY11" s="71" t="str">
        <f t="shared" si="37"/>
        <v/>
      </c>
      <c r="FZ11" s="71" t="str">
        <f t="shared" si="38"/>
        <v/>
      </c>
      <c r="GA11" s="71" t="str">
        <f t="shared" si="39"/>
        <v/>
      </c>
      <c r="GB11" s="71" t="str">
        <f t="shared" si="40"/>
        <v/>
      </c>
      <c r="GC11" s="119" t="str">
        <f t="shared" si="41"/>
        <v>TT_Double</v>
      </c>
      <c r="GD11" s="43" t="str">
        <f t="shared" si="42"/>
        <v>FT_Double</v>
      </c>
      <c r="GE11" s="120" t="str">
        <f t="shared" si="43"/>
        <v>BD_Double</v>
      </c>
      <c r="GF11" s="43"/>
      <c r="GG11" s="4" t="s">
        <v>357</v>
      </c>
      <c r="GH11" s="43">
        <f t="shared" si="46"/>
        <v>0</v>
      </c>
      <c r="GI11" s="43"/>
      <c r="GJ11" s="43"/>
      <c r="GS11" s="58" t="s">
        <v>105</v>
      </c>
      <c r="GT11" s="89" t="str">
        <f>IF($C$8="","",$C$3)</f>
        <v/>
      </c>
      <c r="GU11" s="89" t="str">
        <f>IF($C$9="","",$C$3)</f>
        <v/>
      </c>
      <c r="GV11" s="89" t="str">
        <f>IF($C$10="","",$C$3)</f>
        <v/>
      </c>
      <c r="GW11" s="89" t="str">
        <f>IF($C$11="","",$C$3)</f>
        <v/>
      </c>
      <c r="GX11" s="89" t="str">
        <f>IF($C$12="","",$C$3)</f>
        <v/>
      </c>
      <c r="GY11" s="89" t="str">
        <f>IF($C$13="","",$C$3)</f>
        <v/>
      </c>
      <c r="GZ11" s="89" t="str">
        <f>IF($C$14="","",$C$3)</f>
        <v/>
      </c>
      <c r="HA11" s="64" t="str">
        <f>IF($C$15="","",$C$3)</f>
        <v/>
      </c>
      <c r="HB11" s="64" t="str">
        <f>IF($C$16="","",$C$3)</f>
        <v/>
      </c>
      <c r="HC11" s="64" t="str">
        <f>IF($C$17="","",$C$3)</f>
        <v/>
      </c>
      <c r="HD11" s="64" t="str">
        <f>IF($C$18="","",$C$3)</f>
        <v/>
      </c>
      <c r="HE11" s="64" t="str">
        <f>IF($C$19="","",$C$3)</f>
        <v/>
      </c>
      <c r="HF11" s="64" t="str">
        <f>IF($C$20="","",$C$3)</f>
        <v/>
      </c>
    </row>
    <row r="12" spans="1:215" ht="15.6" x14ac:dyDescent="0.3">
      <c r="A12" s="138">
        <v>1</v>
      </c>
      <c r="B12" s="139"/>
      <c r="C12" s="139"/>
      <c r="D12" s="184"/>
      <c r="E12" s="139"/>
      <c r="F12" s="184"/>
      <c r="G12" s="140"/>
      <c r="H12" s="71" t="str">
        <f>IF(OR($C$2="",B12="",C12="", E12="", G12=""),"",CONCATENATE(INDEX($BR$1:$DB$81,MATCH(C12,CU:CU,0),MATCH(CONCATENATE($C$2," Codif"),$BR$1:$DB$1,0)), INDEX($DW$3:$DY$36, MATCH(G12,$DW$3:$DW$40,0),3), LEFT($C$3,2), INDEX($DR$3:$DT$23, MATCH(CONCATENATE(B12," ",E12),$DR$3:$DR$23,0),3), " Cstm"))</f>
        <v/>
      </c>
      <c r="I12" s="184"/>
      <c r="J12" s="184"/>
      <c r="L12" s="184"/>
      <c r="M12" s="185"/>
      <c r="P12" s="195">
        <f t="shared" si="15"/>
        <v>0</v>
      </c>
      <c r="Q12" s="195">
        <f t="shared" si="16"/>
        <v>0</v>
      </c>
      <c r="R12" s="195">
        <f t="shared" si="17"/>
        <v>0</v>
      </c>
      <c r="S12" s="189">
        <f>IF($B12=$S$7,SUM(#REF!),0)</f>
        <v>0</v>
      </c>
      <c r="T12" s="189">
        <f>IF($B12=$T$7,SUM(#REF!),0)</f>
        <v>0</v>
      </c>
      <c r="U12" s="189">
        <f>IF($B12=$U$7,SUM(#REF!),0)</f>
        <v>0</v>
      </c>
      <c r="V12" s="189">
        <f>IF($B12=$V$7, SUM(#REF!),0)</f>
        <v>0</v>
      </c>
      <c r="W12" s="189" t="e">
        <f t="shared" si="18"/>
        <v>#DIV/0!</v>
      </c>
      <c r="X12" s="44">
        <f t="shared" ca="1" si="19"/>
        <v>0</v>
      </c>
      <c r="Y12" s="13">
        <f ca="1">IF($X$5=12,0,1)</f>
        <v>1</v>
      </c>
      <c r="AA12" s="127" t="e">
        <f t="shared" si="20"/>
        <v>#N/A</v>
      </c>
      <c r="AB12" s="13" t="s">
        <v>358</v>
      </c>
      <c r="AC12" t="s">
        <v>359</v>
      </c>
      <c r="AD12" s="13">
        <f>COUNTIF($B$8:$B$20,AE12)</f>
        <v>0</v>
      </c>
      <c r="AE12" t="s">
        <v>53</v>
      </c>
      <c r="AF12" t="s">
        <v>235</v>
      </c>
      <c r="AG12" s="56" t="s">
        <v>309</v>
      </c>
      <c r="AH12" s="66" t="s">
        <v>113</v>
      </c>
      <c r="AI12" s="26" t="s">
        <v>114</v>
      </c>
      <c r="AJ12" s="104" t="s">
        <v>115</v>
      </c>
      <c r="AK12" s="105" t="s">
        <v>309</v>
      </c>
      <c r="AL12" s="6"/>
      <c r="AM12" s="152" t="s">
        <v>360</v>
      </c>
      <c r="AN12" s="108">
        <f>CS38</f>
        <v>0</v>
      </c>
      <c r="AO12" s="108">
        <f>CS39</f>
        <v>0</v>
      </c>
      <c r="AP12" s="108">
        <f>CS40</f>
        <v>0</v>
      </c>
      <c r="AQ12" s="108">
        <f>CS41</f>
        <v>0</v>
      </c>
      <c r="AR12" s="56" t="s">
        <v>213</v>
      </c>
      <c r="AT12" s="90" t="s">
        <v>330</v>
      </c>
      <c r="AU12" s="15">
        <f t="shared" si="11"/>
        <v>94</v>
      </c>
      <c r="AV12" s="15">
        <f t="shared" si="7"/>
        <v>94</v>
      </c>
      <c r="AW12" s="15">
        <f t="shared" si="7"/>
        <v>94</v>
      </c>
      <c r="AX12" s="15">
        <f t="shared" si="7"/>
        <v>0</v>
      </c>
      <c r="AY12" s="15">
        <f t="shared" si="7"/>
        <v>0</v>
      </c>
      <c r="AZ12" s="15">
        <f t="shared" si="7"/>
        <v>400</v>
      </c>
      <c r="BA12" s="15">
        <f t="shared" si="7"/>
        <v>0</v>
      </c>
      <c r="BB12" s="15">
        <f t="shared" si="7"/>
        <v>0</v>
      </c>
      <c r="BC12" s="15">
        <f t="shared" si="7"/>
        <v>0</v>
      </c>
      <c r="BD12" s="15">
        <f t="shared" si="7"/>
        <v>0</v>
      </c>
      <c r="BE12" s="15">
        <f t="shared" si="7"/>
        <v>0</v>
      </c>
      <c r="BF12" s="15">
        <f t="shared" si="7"/>
        <v>0</v>
      </c>
      <c r="BG12" s="56"/>
      <c r="BH12" s="56"/>
      <c r="BI12" s="1" t="s">
        <v>216</v>
      </c>
      <c r="BJ12" s="1" t="s">
        <v>379</v>
      </c>
      <c r="BK12" s="1" t="s">
        <v>362</v>
      </c>
      <c r="BL12" s="4" t="s">
        <v>363</v>
      </c>
      <c r="BM12" s="1" t="s">
        <v>379</v>
      </c>
      <c r="BP12" s="4" t="s">
        <v>364</v>
      </c>
      <c r="BQ12" s="4"/>
      <c r="BR12" s="6" t="str">
        <f t="shared" si="8"/>
        <v>Classic Maple 16x22 Bass Drum</v>
      </c>
      <c r="BS12" s="4" t="s">
        <v>364</v>
      </c>
      <c r="BT12" s="71"/>
      <c r="BV12" s="6" t="str">
        <f t="shared" si="47"/>
        <v>Legacy Maple 14x22 Bass Drum</v>
      </c>
      <c r="BW12" s="4" t="s">
        <v>336</v>
      </c>
      <c r="BX12" s="67"/>
      <c r="BZ12" s="6" t="str">
        <f t="shared" si="48"/>
        <v>Legacy Mahogany 14x22 Bass Drum</v>
      </c>
      <c r="CA12" s="4" t="s">
        <v>336</v>
      </c>
      <c r="CB12" s="67"/>
      <c r="CC12" s="9"/>
      <c r="CD12" s="6" t="str">
        <f t="shared" si="49"/>
        <v>Legacy Exotic 14x22 Bass Drum</v>
      </c>
      <c r="CE12" s="4" t="s">
        <v>336</v>
      </c>
      <c r="CF12" s="70"/>
      <c r="CG12" s="23" t="s">
        <v>365</v>
      </c>
      <c r="CH12" s="4" t="s">
        <v>364</v>
      </c>
      <c r="CI12" s="70"/>
      <c r="CJ12" s="4"/>
      <c r="CK12" s="90"/>
      <c r="CL12" s="157"/>
      <c r="CM12" s="157"/>
      <c r="CN12" s="157"/>
      <c r="CO12" s="157"/>
      <c r="CP12" s="157"/>
      <c r="CQ12" s="70"/>
      <c r="CS12" s="157"/>
      <c r="CT12" s="70"/>
      <c r="CU12" s="4">
        <f t="shared" ref="CU12:CU23" si="50">CJ12</f>
        <v>0</v>
      </c>
      <c r="CV12" s="93" t="s">
        <v>366</v>
      </c>
      <c r="CW12" s="93" t="s">
        <v>367</v>
      </c>
      <c r="CX12" s="93" t="s">
        <v>368</v>
      </c>
      <c r="CY12" s="93" t="s">
        <v>369</v>
      </c>
      <c r="CZ12" s="93" t="s">
        <v>370</v>
      </c>
      <c r="DA12" s="70"/>
      <c r="DB12" s="13" t="s">
        <v>52</v>
      </c>
      <c r="DC12" s="16" t="str">
        <f t="shared" si="2"/>
        <v>Bass.14x26 Bass Drum</v>
      </c>
      <c r="DD12" s="4" t="s">
        <v>371</v>
      </c>
      <c r="DE12" s="69" t="str">
        <f t="shared" si="3"/>
        <v>MLLCLL</v>
      </c>
      <c r="DF12" s="13" t="s">
        <v>78</v>
      </c>
      <c r="DG12" s="13" t="s">
        <v>79</v>
      </c>
      <c r="DH12" s="13" t="s">
        <v>69</v>
      </c>
      <c r="DI12" s="13"/>
      <c r="DK12" s="13"/>
      <c r="DL12" s="13"/>
      <c r="DM12" s="13"/>
      <c r="DN12" s="13">
        <f t="shared" si="4"/>
        <v>0</v>
      </c>
      <c r="DO12" s="25" t="s">
        <v>353</v>
      </c>
      <c r="DP12" s="13"/>
      <c r="DR12" t="s">
        <v>372</v>
      </c>
      <c r="DS12" s="66">
        <f>CS126</f>
        <v>0</v>
      </c>
      <c r="DT12" s="71" t="s">
        <v>261</v>
      </c>
      <c r="DU12" s="13">
        <f t="shared" si="10"/>
        <v>0</v>
      </c>
      <c r="DW12" s="110" t="str">
        <f>IF(FD21=1, "LR2992MT CHROME Classic Double",  "LR2992MT Classic Double Tom Holder")</f>
        <v>LR2992MT Classic Double Tom Holder</v>
      </c>
      <c r="DX12" s="66">
        <f t="shared" si="5"/>
        <v>0</v>
      </c>
      <c r="DY12" s="71" t="s">
        <v>373</v>
      </c>
      <c r="DZ12" s="13">
        <v>10</v>
      </c>
      <c r="EA12" s="13"/>
      <c r="EB12" s="13">
        <f t="shared" si="6"/>
        <v>0</v>
      </c>
      <c r="EC12" s="16"/>
      <c r="ED12" s="26"/>
      <c r="EE12" s="26"/>
      <c r="EF12" s="24"/>
      <c r="EG12" s="24"/>
      <c r="EH12" s="24"/>
      <c r="EI12" s="24" t="s">
        <v>374</v>
      </c>
      <c r="EJ12" s="24" t="s">
        <v>374</v>
      </c>
      <c r="EK12" s="24" t="s">
        <v>303</v>
      </c>
      <c r="EL12" s="24"/>
      <c r="EN12" s="24"/>
      <c r="EO12" s="24"/>
      <c r="EP12" s="24"/>
      <c r="EQ12" s="24"/>
      <c r="ER12" s="24"/>
      <c r="ES12" s="24"/>
      <c r="EU12" s="26"/>
      <c r="EW12" s="81">
        <f t="shared" si="21"/>
        <v>0</v>
      </c>
      <c r="EX12" s="27"/>
      <c r="EY12" s="18"/>
      <c r="EZ12">
        <v>5</v>
      </c>
      <c r="FA12" s="43">
        <f t="shared" si="44"/>
        <v>0</v>
      </c>
      <c r="FB12" s="13" t="str">
        <f t="shared" si="22"/>
        <v/>
      </c>
      <c r="FC12" s="13" t="str">
        <f t="shared" si="23"/>
        <v/>
      </c>
      <c r="FD12" s="13" t="str">
        <f t="shared" si="45"/>
        <v>Double</v>
      </c>
      <c r="FF12" s="99"/>
      <c r="FG12" s="7"/>
      <c r="FI12" s="4"/>
      <c r="FJ12" s="13">
        <f t="shared" si="24"/>
        <v>0</v>
      </c>
      <c r="FK12" s="40">
        <v>12</v>
      </c>
      <c r="FL12" s="13">
        <f t="shared" si="25"/>
        <v>1</v>
      </c>
      <c r="FM12">
        <f t="shared" si="26"/>
        <v>0</v>
      </c>
      <c r="FN12">
        <f t="shared" si="27"/>
        <v>0</v>
      </c>
      <c r="FO12" s="35">
        <f t="shared" si="28"/>
        <v>0</v>
      </c>
      <c r="FP12">
        <f t="shared" si="29"/>
        <v>0</v>
      </c>
      <c r="FQ12" s="35">
        <f t="shared" si="30"/>
        <v>0</v>
      </c>
      <c r="FR12" s="36">
        <f t="shared" si="31"/>
        <v>0</v>
      </c>
      <c r="FS12" s="98" t="str">
        <f t="shared" si="32"/>
        <v xml:space="preserve"> </v>
      </c>
      <c r="FU12" s="44">
        <f t="shared" ca="1" si="33"/>
        <v>0</v>
      </c>
      <c r="FV12" s="44" t="str">
        <f t="shared" ca="1" si="34"/>
        <v/>
      </c>
      <c r="FW12" s="44" t="str">
        <f t="shared" ca="1" si="35"/>
        <v/>
      </c>
      <c r="FX12" s="71" t="str">
        <f t="shared" si="36"/>
        <v/>
      </c>
      <c r="FY12" s="71" t="str">
        <f t="shared" si="37"/>
        <v/>
      </c>
      <c r="FZ12" s="71" t="str">
        <f t="shared" si="38"/>
        <v/>
      </c>
      <c r="GA12" s="71" t="str">
        <f t="shared" si="39"/>
        <v/>
      </c>
      <c r="GB12" s="71" t="str">
        <f t="shared" si="40"/>
        <v/>
      </c>
      <c r="GC12" s="119" t="str">
        <f t="shared" si="41"/>
        <v>TT_Double</v>
      </c>
      <c r="GD12" s="43" t="str">
        <f t="shared" si="42"/>
        <v>FT_Double</v>
      </c>
      <c r="GE12" s="120" t="str">
        <f t="shared" si="43"/>
        <v>BD_Double</v>
      </c>
      <c r="GF12" s="43"/>
      <c r="GG12" s="4" t="s">
        <v>375</v>
      </c>
      <c r="GH12" s="43">
        <f t="shared" si="46"/>
        <v>0</v>
      </c>
      <c r="GI12" s="43"/>
      <c r="GJ12" s="43"/>
      <c r="GS12" s="58" t="s">
        <v>376</v>
      </c>
      <c r="GT12" s="88" t="str">
        <f>IF(AND($B8="Bass",$G$22 &lt;&gt;""), $G$22, IF($B8="Bass", $E$22,""))</f>
        <v/>
      </c>
      <c r="GU12" s="88" t="str">
        <f>IF(AND($B9="Bass",$G$22 &lt;&gt;""), $G$22, IF($B9="Bass", $E$22,""))</f>
        <v/>
      </c>
      <c r="GV12" s="88" t="str">
        <f>IF(AND($B10="Bass",$G$22 &lt;&gt;""), $G$22, IF($B10="Bass", $E$22,""))</f>
        <v/>
      </c>
      <c r="GW12" s="88" t="str">
        <f>IF(AND($B11="Bass",$G$22 &lt;&gt;""), $G$22, IF($B11="Bass", $E$22,""))</f>
        <v/>
      </c>
      <c r="GX12" s="88" t="str">
        <f>IF(AND($B12="Bass",$G$22 &lt;&gt;""), $G$22, IF($B12="Bass", $E$22,""))</f>
        <v/>
      </c>
      <c r="GY12" s="88" t="str">
        <f>IF(AND($B13="Bass",$G$22 &lt;&gt;""), $G$22, IF($B13="Bass", $E$22,""))</f>
        <v/>
      </c>
      <c r="GZ12" s="88" t="str">
        <f>IF(AND($B14="Bass",$G$22 &lt;&gt;""), $G$22, IF($B14="Bass", $E$22,""))</f>
        <v/>
      </c>
      <c r="HA12" s="62" t="str">
        <f>IF(AND($B15="Bass",$G$22 &lt;&gt;""), $G$22, IF($B15="Bass", $E$22,""))</f>
        <v/>
      </c>
      <c r="HB12" s="62" t="str">
        <f>IF(AND($B16="Bass",$G$22 &lt;&gt;""), $G$22, IF($B16="Bass", $E$22,""))</f>
        <v/>
      </c>
      <c r="HC12" s="62" t="str">
        <f>IF(AND($B17="Bass",$G$22 &lt;&gt;""), $G$22, IF($B17="Bass", $E$22,""))</f>
        <v/>
      </c>
      <c r="HD12" s="62" t="str">
        <f>IF(AND($B18="Bass",$G$22 &lt;&gt;""), $G$22, IF($B18="Bass", $E$22,""))</f>
        <v/>
      </c>
      <c r="HE12" s="62" t="str">
        <f>IF(AND($B19="Bass",$G$22 &lt;&gt;""), $G$22, IF($B19="Bass", $E$22,""))</f>
        <v/>
      </c>
      <c r="HF12" s="62" t="str">
        <f>IF(AND($B20="Bass",$G$22 &lt;&gt;""), $G$22, IF($B20="Bass", $E$22,""))</f>
        <v/>
      </c>
      <c r="HG12" s="13"/>
    </row>
    <row r="13" spans="1:215" ht="15.6" x14ac:dyDescent="0.3">
      <c r="A13" s="138">
        <v>1</v>
      </c>
      <c r="B13" s="139"/>
      <c r="C13" s="139"/>
      <c r="D13" s="184"/>
      <c r="E13" s="139"/>
      <c r="F13" s="184"/>
      <c r="G13" s="140"/>
      <c r="H13" s="71" t="str">
        <f>IF(OR($C$2="",B13="",C13="", E13="", G13=""),"",CONCATENATE(INDEX($BR$1:$DB$81,MATCH(C13,CU:CU,0),MATCH(CONCATENATE($C$2," Codif"),$BR$1:$DB$1,0)), INDEX($DW$3:$DY$36, MATCH(G13,$DW$3:$DW$40,0),3), LEFT($C$3,2), INDEX($DR$3:$DT$23, MATCH(CONCATENATE(B13," ",E13),$DR$3:$DR$23,0),3), " Cstm"))</f>
        <v/>
      </c>
      <c r="I13" s="184"/>
      <c r="J13" s="184"/>
      <c r="L13" s="184"/>
      <c r="M13" s="185"/>
      <c r="P13" s="195">
        <f t="shared" si="15"/>
        <v>0</v>
      </c>
      <c r="Q13" s="195">
        <f t="shared" si="16"/>
        <v>0</v>
      </c>
      <c r="R13" s="195">
        <f t="shared" si="17"/>
        <v>0</v>
      </c>
      <c r="S13" s="189">
        <f>IF($B13=$S$7,SUM(#REF!),0)</f>
        <v>0</v>
      </c>
      <c r="T13" s="189">
        <f>IF($B13=$T$7,SUM(#REF!),0)</f>
        <v>0</v>
      </c>
      <c r="U13" s="189">
        <f>IF($B13=$U$7,SUM(#REF!),0)</f>
        <v>0</v>
      </c>
      <c r="V13" s="189">
        <f>IF($B13=$V$7, SUM(#REF!),0)</f>
        <v>0</v>
      </c>
      <c r="W13" s="189" t="e">
        <f t="shared" si="18"/>
        <v>#DIV/0!</v>
      </c>
      <c r="X13" s="44">
        <f t="shared" ca="1" si="19"/>
        <v>0</v>
      </c>
      <c r="Y13" s="13">
        <f ca="1">IF($X$5=13,0,1)</f>
        <v>1</v>
      </c>
      <c r="AA13" s="127" t="e">
        <f t="shared" si="20"/>
        <v>#N/A</v>
      </c>
      <c r="AB13" s="13" t="s">
        <v>196</v>
      </c>
      <c r="AC13" t="s">
        <v>55</v>
      </c>
      <c r="AD13" s="13">
        <f>COUNTIF($B$8:$B$20,AE13)</f>
        <v>0</v>
      </c>
      <c r="AE13" t="s">
        <v>55</v>
      </c>
      <c r="AF13" t="s">
        <v>377</v>
      </c>
      <c r="AG13" s="56" t="s">
        <v>327</v>
      </c>
      <c r="AH13" s="66" t="s">
        <v>113</v>
      </c>
      <c r="AI13" s="26" t="s">
        <v>114</v>
      </c>
      <c r="AJ13" s="104" t="s">
        <v>115</v>
      </c>
      <c r="AK13" s="105" t="s">
        <v>327</v>
      </c>
      <c r="AL13" s="6"/>
      <c r="AM13" s="54" t="s">
        <v>378</v>
      </c>
      <c r="AN13" s="66">
        <f>CS43</f>
        <v>0</v>
      </c>
      <c r="AO13" s="66">
        <f>CS44</f>
        <v>0</v>
      </c>
      <c r="AP13" s="66">
        <f>CS45</f>
        <v>0</v>
      </c>
      <c r="AQ13" s="66">
        <f>CS46</f>
        <v>0</v>
      </c>
      <c r="AR13" s="56" t="s">
        <v>213</v>
      </c>
      <c r="AT13" s="90" t="s">
        <v>346</v>
      </c>
      <c r="AU13" s="15">
        <f t="shared" si="11"/>
        <v>94</v>
      </c>
      <c r="AV13" s="15">
        <f t="shared" si="7"/>
        <v>94</v>
      </c>
      <c r="AW13" s="15">
        <f t="shared" si="7"/>
        <v>94</v>
      </c>
      <c r="AX13" s="15">
        <f t="shared" si="7"/>
        <v>0</v>
      </c>
      <c r="AY13" s="15">
        <f t="shared" si="7"/>
        <v>0</v>
      </c>
      <c r="AZ13" s="15">
        <f t="shared" si="7"/>
        <v>400</v>
      </c>
      <c r="BA13" s="15">
        <f t="shared" si="7"/>
        <v>0</v>
      </c>
      <c r="BB13" s="15">
        <f t="shared" si="7"/>
        <v>0</v>
      </c>
      <c r="BC13" s="15">
        <f t="shared" si="7"/>
        <v>0</v>
      </c>
      <c r="BD13" s="15">
        <f t="shared" si="7"/>
        <v>0</v>
      </c>
      <c r="BE13" s="15">
        <f t="shared" si="7"/>
        <v>0</v>
      </c>
      <c r="BF13" s="15">
        <f t="shared" si="7"/>
        <v>0</v>
      </c>
      <c r="BG13" s="56"/>
      <c r="BH13" s="56"/>
      <c r="BI13" s="1" t="s">
        <v>290</v>
      </c>
      <c r="BJ13" s="1" t="s">
        <v>397</v>
      </c>
      <c r="BK13" s="1" t="s">
        <v>379</v>
      </c>
      <c r="BL13" s="4" t="s">
        <v>380</v>
      </c>
      <c r="BM13" s="1" t="s">
        <v>397</v>
      </c>
      <c r="BP13" s="4" t="s">
        <v>381</v>
      </c>
      <c r="BQ13" s="4"/>
      <c r="BR13" s="6" t="str">
        <f t="shared" si="8"/>
        <v>Classic Maple 18x22 Bass Drum</v>
      </c>
      <c r="BS13" s="4" t="s">
        <v>381</v>
      </c>
      <c r="BT13" s="71"/>
      <c r="BV13" s="6" t="str">
        <f t="shared" si="47"/>
        <v>Legacy Maple 16x22 Bass Drum</v>
      </c>
      <c r="BW13" s="4" t="s">
        <v>364</v>
      </c>
      <c r="BX13" s="67"/>
      <c r="BZ13" s="6" t="str">
        <f t="shared" si="48"/>
        <v>Legacy Mahogany 16x22 Bass Drum</v>
      </c>
      <c r="CA13" s="4" t="s">
        <v>364</v>
      </c>
      <c r="CB13" s="67"/>
      <c r="CC13" s="9"/>
      <c r="CD13" s="6" t="str">
        <f t="shared" si="49"/>
        <v>Legacy Exotic 16x22 Bass Drum</v>
      </c>
      <c r="CE13" s="4" t="s">
        <v>364</v>
      </c>
      <c r="CF13" s="70"/>
      <c r="CG13" s="23" t="s">
        <v>382</v>
      </c>
      <c r="CH13" s="4" t="s">
        <v>381</v>
      </c>
      <c r="CI13" s="70"/>
      <c r="CJ13" s="4"/>
      <c r="CK13" s="90"/>
      <c r="CL13" s="157"/>
      <c r="CM13" s="157"/>
      <c r="CN13" s="157"/>
      <c r="CO13" s="157"/>
      <c r="CP13" s="157"/>
      <c r="CQ13" s="70"/>
      <c r="CS13" s="157"/>
      <c r="CT13" s="70"/>
      <c r="CU13" s="4">
        <f t="shared" si="50"/>
        <v>0</v>
      </c>
      <c r="CV13" s="93" t="s">
        <v>383</v>
      </c>
      <c r="CW13" s="93" t="s">
        <v>384</v>
      </c>
      <c r="CX13" s="93" t="s">
        <v>385</v>
      </c>
      <c r="CY13" s="93" t="s">
        <v>386</v>
      </c>
      <c r="CZ13" s="93" t="s">
        <v>387</v>
      </c>
      <c r="DA13" s="70"/>
      <c r="DB13" s="13" t="s">
        <v>52</v>
      </c>
      <c r="DC13" s="16" t="str">
        <f t="shared" si="2"/>
        <v>Bass.16x18 Bass Drum</v>
      </c>
      <c r="DD13" s="4" t="s">
        <v>185</v>
      </c>
      <c r="DE13" s="69" t="str">
        <f t="shared" si="3"/>
        <v>MLLCLL</v>
      </c>
      <c r="DF13" s="13" t="s">
        <v>78</v>
      </c>
      <c r="DG13" s="13" t="s">
        <v>79</v>
      </c>
      <c r="DH13" s="13" t="s">
        <v>69</v>
      </c>
      <c r="DI13" s="13"/>
      <c r="DK13" s="13"/>
      <c r="DL13" s="13"/>
      <c r="DM13" s="13"/>
      <c r="DN13" s="13">
        <f t="shared" si="4"/>
        <v>0</v>
      </c>
      <c r="DO13" s="25" t="s">
        <v>353</v>
      </c>
      <c r="DP13" s="13"/>
      <c r="DR13" t="s">
        <v>388</v>
      </c>
      <c r="DS13" s="66">
        <f>CS127</f>
        <v>0</v>
      </c>
      <c r="DT13" s="71"/>
      <c r="DU13" s="13">
        <f t="shared" si="10"/>
        <v>0</v>
      </c>
      <c r="DW13" s="111" t="str">
        <f>IF(FD17=1, "PM0062 CHROME Atlas Bracket",  "PM0062 Atlas Bass Casting")</f>
        <v>PM0062 Atlas Bass Casting</v>
      </c>
      <c r="DX13" s="66">
        <f t="shared" si="5"/>
        <v>0</v>
      </c>
      <c r="DY13" s="71" t="s">
        <v>389</v>
      </c>
      <c r="DZ13" s="13">
        <v>0</v>
      </c>
      <c r="EA13" s="13"/>
      <c r="EB13" s="13">
        <f t="shared" si="6"/>
        <v>0</v>
      </c>
      <c r="EC13" s="16"/>
      <c r="ED13" s="26"/>
      <c r="EE13" s="26"/>
      <c r="EF13" s="24"/>
      <c r="EG13" s="24"/>
      <c r="EH13" s="24"/>
      <c r="EI13" s="24" t="s">
        <v>304</v>
      </c>
      <c r="EJ13" s="24" t="s">
        <v>304</v>
      </c>
      <c r="EK13" s="24" t="s">
        <v>390</v>
      </c>
      <c r="EL13" s="26" t="s">
        <v>391</v>
      </c>
      <c r="EM13" s="24"/>
      <c r="EN13" s="26" t="s">
        <v>392</v>
      </c>
      <c r="EO13" s="24"/>
      <c r="EP13" s="24"/>
      <c r="EQ13" s="24"/>
      <c r="ES13" s="24" t="s">
        <v>393</v>
      </c>
      <c r="EU13" s="26"/>
      <c r="EW13" s="81">
        <f t="shared" si="21"/>
        <v>0</v>
      </c>
      <c r="EX13" s="27"/>
      <c r="EY13" s="18"/>
      <c r="EZ13">
        <v>6</v>
      </c>
      <c r="FA13" s="43">
        <f t="shared" si="44"/>
        <v>0</v>
      </c>
      <c r="FB13" s="13" t="str">
        <f t="shared" si="22"/>
        <v/>
      </c>
      <c r="FC13" s="13" t="str">
        <f t="shared" si="23"/>
        <v/>
      </c>
      <c r="FD13" s="13" t="str">
        <f t="shared" si="45"/>
        <v>Double</v>
      </c>
      <c r="FF13" s="99"/>
      <c r="FG13" s="7"/>
      <c r="FJ13" s="13">
        <f t="shared" si="24"/>
        <v>0</v>
      </c>
      <c r="FK13" s="40">
        <v>13</v>
      </c>
      <c r="FL13" s="13">
        <f t="shared" si="25"/>
        <v>1</v>
      </c>
      <c r="FM13">
        <f t="shared" si="26"/>
        <v>0</v>
      </c>
      <c r="FN13">
        <f t="shared" si="27"/>
        <v>0</v>
      </c>
      <c r="FO13" s="35">
        <f t="shared" si="28"/>
        <v>0</v>
      </c>
      <c r="FP13">
        <f t="shared" si="29"/>
        <v>0</v>
      </c>
      <c r="FQ13" s="35">
        <f t="shared" si="30"/>
        <v>0</v>
      </c>
      <c r="FR13" s="36">
        <f t="shared" si="31"/>
        <v>0</v>
      </c>
      <c r="FS13" s="98" t="str">
        <f t="shared" si="32"/>
        <v xml:space="preserve"> </v>
      </c>
      <c r="FU13" s="44">
        <f t="shared" ca="1" si="33"/>
        <v>0</v>
      </c>
      <c r="FV13" s="44" t="str">
        <f t="shared" ca="1" si="34"/>
        <v/>
      </c>
      <c r="FW13" s="44" t="str">
        <f t="shared" ca="1" si="35"/>
        <v/>
      </c>
      <c r="FX13" s="71" t="str">
        <f t="shared" si="36"/>
        <v/>
      </c>
      <c r="FY13" s="71" t="str">
        <f t="shared" si="37"/>
        <v/>
      </c>
      <c r="FZ13" s="71" t="str">
        <f t="shared" si="38"/>
        <v/>
      </c>
      <c r="GA13" s="71" t="str">
        <f t="shared" si="39"/>
        <v/>
      </c>
      <c r="GB13" s="71" t="str">
        <f t="shared" si="40"/>
        <v/>
      </c>
      <c r="GC13" s="119" t="str">
        <f t="shared" si="41"/>
        <v>TT_Double</v>
      </c>
      <c r="GD13" s="43" t="str">
        <f t="shared" si="42"/>
        <v>FT_Double</v>
      </c>
      <c r="GE13" s="120" t="str">
        <f t="shared" si="43"/>
        <v>BD_Double</v>
      </c>
      <c r="GF13" s="43"/>
      <c r="GG13" s="4" t="s">
        <v>394</v>
      </c>
      <c r="GH13" s="43">
        <f t="shared" si="46"/>
        <v>0</v>
      </c>
      <c r="GI13" s="43"/>
      <c r="GJ13" s="43"/>
      <c r="GS13" s="58" t="s">
        <v>395</v>
      </c>
      <c r="GT13" s="89" t="str">
        <f>IF(AND($B8="Bass",$G$23=""),$E$23,IF($B8="Bass",$G$23,""))</f>
        <v/>
      </c>
      <c r="GU13" s="89" t="str">
        <f>IF(AND($B9="Bass",$G$23=""),$E$23,IF($B9="Bass",$G$23,""))</f>
        <v/>
      </c>
      <c r="GV13" s="89" t="str">
        <f>IF(AND($B10="Bass",$G$23=""),$E$23,IF($B10="Bass",$G$23,""))</f>
        <v/>
      </c>
      <c r="GW13" s="89" t="str">
        <f>IF(AND($B11="Bass",$G$23=""),$E$23,IF($B11="Bass",$G$23,""))</f>
        <v/>
      </c>
      <c r="GX13" s="89" t="str">
        <f>IF(AND($B12="Bass",$G$23=""),$E$23,IF($B12="Bass",$G$23,""))</f>
        <v/>
      </c>
      <c r="GY13" s="89" t="str">
        <f>IF(AND($B13="Bass",$G$23=""),$E$23,IF($B13="Bass",$G$23,""))</f>
        <v/>
      </c>
      <c r="GZ13" s="89" t="str">
        <f>IF(AND($B14="Bass",$G$23=""),$E$23,IF($B148="Bass",$G$23,""))</f>
        <v/>
      </c>
      <c r="HA13" s="64" t="str">
        <f>IF(AND($B15="Bass",$G$23=""),$E$23,IF($B15="Bass",$G$23,""))</f>
        <v/>
      </c>
      <c r="HB13" s="64" t="str">
        <f>IF(AND($B16="Bass",$G$23=""),$E$23,IF($B16="Bass",$G$23,""))</f>
        <v/>
      </c>
      <c r="HC13" s="64" t="str">
        <f>IF(AND($B17="Bass",$G$23=""),$E$23,IF($B17="Bass",$G$23,""))</f>
        <v/>
      </c>
      <c r="HD13" s="64" t="str">
        <f>IF(AND($B18="Bass",$G$23=""),$E$23,IF($B18="Bass",$G$23,""))</f>
        <v/>
      </c>
      <c r="HE13" s="64" t="str">
        <f>IF(AND($B19="Bass",$G$23=""),$E$23,IF($B19="Bass",$G$23,""))</f>
        <v/>
      </c>
      <c r="HF13" s="64" t="str">
        <f>IF(AND($B20="Bass",$G$23=""),$E$23,IF($B20="Bass",$G$23,""))</f>
        <v/>
      </c>
      <c r="HG13" s="13"/>
    </row>
    <row r="14" spans="1:215" ht="15.6" x14ac:dyDescent="0.3">
      <c r="A14" s="138">
        <v>1</v>
      </c>
      <c r="B14" s="139"/>
      <c r="C14" s="139"/>
      <c r="D14" s="184"/>
      <c r="E14" s="139"/>
      <c r="F14" s="184"/>
      <c r="G14" s="140"/>
      <c r="H14" s="71" t="str">
        <f>IF(OR($C$2="",B14="",C14="", E14="", G14=""),"",CONCATENATE(INDEX($BR$1:$DB$81,MATCH(C14,CU:CU,0),MATCH(CONCATENATE($C$2," Codif"),$BR$1:$DB$1,0)), INDEX($DW$3:$DY$36, MATCH(G14,$DW$3:$DW$40,0),3), LEFT($C$3,2), INDEX($DR$3:$DT$23, MATCH(CONCATENATE(B14," ",E14),$DR$3:$DR$23,0),3), " Cstm"))</f>
        <v/>
      </c>
      <c r="I14" s="184"/>
      <c r="J14" s="184"/>
      <c r="L14" s="184"/>
      <c r="M14" s="185"/>
      <c r="P14" s="195">
        <f t="shared" si="15"/>
        <v>0</v>
      </c>
      <c r="Q14" s="195">
        <f t="shared" si="16"/>
        <v>0</v>
      </c>
      <c r="R14" s="195">
        <f t="shared" si="17"/>
        <v>0</v>
      </c>
      <c r="S14" s="189">
        <f>IF($B14=$S$7,SUM(#REF!),0)</f>
        <v>0</v>
      </c>
      <c r="T14" s="189">
        <f>IF($B14=$T$7,SUM(#REF!),0)</f>
        <v>0</v>
      </c>
      <c r="U14" s="189">
        <f>IF($B14=$U$7,SUM(#REF!),0)</f>
        <v>0</v>
      </c>
      <c r="V14" s="189">
        <f>IF($B14=$V$7, SUM(#REF!),0)</f>
        <v>0</v>
      </c>
      <c r="W14" s="189" t="e">
        <f t="shared" si="18"/>
        <v>#DIV/0!</v>
      </c>
      <c r="X14" s="44">
        <f t="shared" ca="1" si="19"/>
        <v>0</v>
      </c>
      <c r="Y14" s="13">
        <f ca="1">IF($X$5=14,0,1)</f>
        <v>1</v>
      </c>
      <c r="AA14" s="127" t="e">
        <f t="shared" si="20"/>
        <v>#N/A</v>
      </c>
      <c r="AG14" s="56" t="s">
        <v>344</v>
      </c>
      <c r="AH14" s="66" t="s">
        <v>113</v>
      </c>
      <c r="AI14" s="26" t="s">
        <v>114</v>
      </c>
      <c r="AJ14" s="104" t="s">
        <v>115</v>
      </c>
      <c r="AK14" s="105" t="s">
        <v>344</v>
      </c>
      <c r="AL14" s="6"/>
      <c r="AM14" s="54" t="s">
        <v>396</v>
      </c>
      <c r="AN14" s="66">
        <f>CS47</f>
        <v>0</v>
      </c>
      <c r="AO14" s="66">
        <f>CS48</f>
        <v>0</v>
      </c>
      <c r="AP14" s="66">
        <f>CS49</f>
        <v>0</v>
      </c>
      <c r="AQ14" s="66">
        <f>CS50</f>
        <v>0</v>
      </c>
      <c r="AR14" s="56" t="s">
        <v>213</v>
      </c>
      <c r="AT14" s="90" t="s">
        <v>365</v>
      </c>
      <c r="AU14" s="15">
        <f t="shared" si="11"/>
        <v>94</v>
      </c>
      <c r="AV14" s="15">
        <f t="shared" si="7"/>
        <v>94</v>
      </c>
      <c r="AW14" s="15">
        <f t="shared" si="7"/>
        <v>94</v>
      </c>
      <c r="AX14" s="15">
        <f t="shared" si="7"/>
        <v>0</v>
      </c>
      <c r="AY14" s="15">
        <f t="shared" si="7"/>
        <v>0</v>
      </c>
      <c r="AZ14" s="15">
        <f t="shared" si="7"/>
        <v>400</v>
      </c>
      <c r="BA14" s="15">
        <f t="shared" si="7"/>
        <v>0</v>
      </c>
      <c r="BB14" s="15">
        <f t="shared" si="7"/>
        <v>0</v>
      </c>
      <c r="BC14" s="15">
        <f t="shared" si="7"/>
        <v>0</v>
      </c>
      <c r="BD14" s="15">
        <f t="shared" si="7"/>
        <v>0</v>
      </c>
      <c r="BE14" s="15">
        <f t="shared" si="7"/>
        <v>0</v>
      </c>
      <c r="BF14" s="15">
        <f t="shared" si="7"/>
        <v>0</v>
      </c>
      <c r="BG14" s="56"/>
      <c r="BH14" s="56"/>
      <c r="BI14" s="1" t="s">
        <v>251</v>
      </c>
      <c r="BJ14" s="1" t="s">
        <v>411</v>
      </c>
      <c r="BK14" s="1" t="s">
        <v>397</v>
      </c>
      <c r="BL14" s="4" t="s">
        <v>398</v>
      </c>
      <c r="BM14" s="1" t="s">
        <v>411</v>
      </c>
      <c r="BP14" s="4" t="s">
        <v>399</v>
      </c>
      <c r="BQ14" s="4"/>
      <c r="BR14" s="6" t="str">
        <f t="shared" si="8"/>
        <v>Classic Maple 20x22 Bass Drum</v>
      </c>
      <c r="BS14" s="4" t="s">
        <v>399</v>
      </c>
      <c r="BT14" s="71"/>
      <c r="BV14" s="6" t="str">
        <f t="shared" si="47"/>
        <v>Legacy Maple 18x22 Bass Drum</v>
      </c>
      <c r="BW14" s="4" t="s">
        <v>381</v>
      </c>
      <c r="BX14" s="67"/>
      <c r="BZ14" s="6" t="str">
        <f t="shared" si="48"/>
        <v>Legacy Mahogany 18x22 Bass Drum</v>
      </c>
      <c r="CA14" s="4" t="s">
        <v>381</v>
      </c>
      <c r="CB14" s="67"/>
      <c r="CC14" s="9"/>
      <c r="CD14" s="6" t="str">
        <f t="shared" si="49"/>
        <v>Legacy Exotic 18x22 Bass Drum</v>
      </c>
      <c r="CE14" s="4" t="s">
        <v>381</v>
      </c>
      <c r="CF14" s="70"/>
      <c r="CG14" s="23" t="s">
        <v>400</v>
      </c>
      <c r="CH14" s="4" t="s">
        <v>399</v>
      </c>
      <c r="CI14" s="70"/>
      <c r="CJ14" s="4"/>
      <c r="CK14" s="90"/>
      <c r="CL14" s="157"/>
      <c r="CM14" s="157"/>
      <c r="CN14" s="157"/>
      <c r="CO14" s="157"/>
      <c r="CP14" s="157"/>
      <c r="CQ14" s="70"/>
      <c r="CS14" s="157"/>
      <c r="CT14" s="70"/>
      <c r="CU14" s="4">
        <f t="shared" si="50"/>
        <v>0</v>
      </c>
      <c r="CV14" s="93" t="s">
        <v>401</v>
      </c>
      <c r="CW14" s="93" t="s">
        <v>402</v>
      </c>
      <c r="CX14" s="93" t="s">
        <v>403</v>
      </c>
      <c r="CY14" s="93" t="s">
        <v>404</v>
      </c>
      <c r="CZ14" s="93" t="s">
        <v>405</v>
      </c>
      <c r="DA14" s="70"/>
      <c r="DB14" s="13" t="s">
        <v>52</v>
      </c>
      <c r="DC14" s="16" t="str">
        <f t="shared" si="2"/>
        <v>Bass.16x20 Bass Drum</v>
      </c>
      <c r="DD14" s="4" t="s">
        <v>292</v>
      </c>
      <c r="DE14" s="69" t="str">
        <f t="shared" si="3"/>
        <v>MLLCLL</v>
      </c>
      <c r="DF14" s="13" t="s">
        <v>78</v>
      </c>
      <c r="DG14" s="13" t="s">
        <v>79</v>
      </c>
      <c r="DH14" s="13" t="s">
        <v>69</v>
      </c>
      <c r="DI14" s="13"/>
      <c r="DK14" s="13"/>
      <c r="DL14" s="13"/>
      <c r="DM14" s="13"/>
      <c r="DN14" s="13">
        <f t="shared" si="4"/>
        <v>0</v>
      </c>
      <c r="DO14" s="25" t="s">
        <v>353</v>
      </c>
      <c r="DP14" s="13"/>
      <c r="DR14" t="s">
        <v>406</v>
      </c>
      <c r="DS14" s="66">
        <f>CS128</f>
        <v>0</v>
      </c>
      <c r="DT14" s="71" t="s">
        <v>168</v>
      </c>
      <c r="DU14" s="13">
        <f t="shared" si="10"/>
        <v>0</v>
      </c>
      <c r="DX14" s="66"/>
      <c r="DY14" s="71"/>
      <c r="DZ14" s="13"/>
      <c r="EA14" s="13"/>
      <c r="EB14" s="13"/>
      <c r="EC14" s="16"/>
      <c r="ED14" s="26"/>
      <c r="EE14" s="26"/>
      <c r="EF14" s="24"/>
      <c r="EG14" s="24"/>
      <c r="EH14" s="24"/>
      <c r="EI14" s="24" t="s">
        <v>407</v>
      </c>
      <c r="EJ14" s="24" t="s">
        <v>407</v>
      </c>
      <c r="EK14" s="227"/>
      <c r="EL14" s="24" t="s">
        <v>154</v>
      </c>
      <c r="EM14" s="24"/>
      <c r="EN14" s="24" t="s">
        <v>320</v>
      </c>
      <c r="EO14" s="24"/>
      <c r="EP14" s="24"/>
      <c r="EQ14" s="24"/>
      <c r="ES14" s="14" t="s">
        <v>408</v>
      </c>
      <c r="ET14" s="24">
        <v>0</v>
      </c>
      <c r="EU14" s="26"/>
      <c r="EW14" s="81">
        <f t="shared" si="21"/>
        <v>0</v>
      </c>
      <c r="EX14" s="27"/>
      <c r="EY14" s="18"/>
      <c r="EZ14">
        <v>7</v>
      </c>
      <c r="FA14" s="43">
        <f t="shared" si="44"/>
        <v>0</v>
      </c>
      <c r="FB14" s="13" t="str">
        <f t="shared" si="22"/>
        <v/>
      </c>
      <c r="FC14" s="13" t="str">
        <f t="shared" si="23"/>
        <v/>
      </c>
      <c r="FD14" s="13" t="str">
        <f t="shared" si="45"/>
        <v>Double</v>
      </c>
      <c r="FF14" s="99"/>
      <c r="FG14" s="7"/>
      <c r="FJ14" s="13">
        <f t="shared" si="24"/>
        <v>0</v>
      </c>
      <c r="FK14" s="40">
        <v>14</v>
      </c>
      <c r="FL14" s="13">
        <f t="shared" si="25"/>
        <v>1</v>
      </c>
      <c r="FM14">
        <f t="shared" si="26"/>
        <v>0</v>
      </c>
      <c r="FN14">
        <f t="shared" si="27"/>
        <v>0</v>
      </c>
      <c r="FO14" s="35">
        <f t="shared" si="28"/>
        <v>0</v>
      </c>
      <c r="FP14">
        <f t="shared" si="29"/>
        <v>0</v>
      </c>
      <c r="FQ14" s="35">
        <f t="shared" si="30"/>
        <v>0</v>
      </c>
      <c r="FR14" s="36">
        <f t="shared" si="31"/>
        <v>0</v>
      </c>
      <c r="FS14" s="98" t="str">
        <f t="shared" si="32"/>
        <v xml:space="preserve"> </v>
      </c>
      <c r="FU14" s="44">
        <f t="shared" ca="1" si="33"/>
        <v>0</v>
      </c>
      <c r="FV14" s="44" t="str">
        <f t="shared" ca="1" si="34"/>
        <v/>
      </c>
      <c r="FW14" s="44" t="str">
        <f t="shared" ca="1" si="35"/>
        <v/>
      </c>
      <c r="FX14" s="71" t="str">
        <f t="shared" si="36"/>
        <v/>
      </c>
      <c r="FY14" s="71" t="str">
        <f t="shared" si="37"/>
        <v/>
      </c>
      <c r="FZ14" s="71" t="str">
        <f t="shared" si="38"/>
        <v/>
      </c>
      <c r="GA14" s="71" t="str">
        <f t="shared" si="39"/>
        <v/>
      </c>
      <c r="GB14" s="71" t="str">
        <f t="shared" si="40"/>
        <v/>
      </c>
      <c r="GC14" s="119" t="str">
        <f t="shared" si="41"/>
        <v>TT_Double</v>
      </c>
      <c r="GD14" s="43" t="str">
        <f t="shared" si="42"/>
        <v>FT_Double</v>
      </c>
      <c r="GE14" s="120" t="str">
        <f t="shared" si="43"/>
        <v>BD_Double</v>
      </c>
      <c r="GF14" s="43"/>
      <c r="GG14" s="4" t="s">
        <v>409</v>
      </c>
      <c r="GH14" s="43">
        <f t="shared" si="46"/>
        <v>0</v>
      </c>
      <c r="GI14" s="43"/>
      <c r="GJ14" s="43"/>
      <c r="GS14" s="58" t="s">
        <v>28</v>
      </c>
      <c r="GT14" s="88" t="str">
        <f>IF($E8="","",$E8)</f>
        <v/>
      </c>
      <c r="GU14" s="88" t="str">
        <f>IF($E9="","",$E9)</f>
        <v/>
      </c>
      <c r="GV14" s="88" t="str">
        <f>IF($E10="","",$E10)</f>
        <v/>
      </c>
      <c r="GW14" s="88" t="str">
        <f>IF($E11="","",$E11)</f>
        <v/>
      </c>
      <c r="GX14" s="88" t="str">
        <f>IF($E12="","",$E12)</f>
        <v/>
      </c>
      <c r="GY14" s="88" t="str">
        <f>IF($E13="","",$E13)</f>
        <v/>
      </c>
      <c r="GZ14" s="88" t="str">
        <f>IF($E14="","",$E14)</f>
        <v/>
      </c>
      <c r="HA14" s="62" t="str">
        <f>IF($E15="","",$E15)</f>
        <v/>
      </c>
      <c r="HB14" s="62" t="str">
        <f>IF($E16="","",$E16)</f>
        <v/>
      </c>
      <c r="HC14" s="62" t="str">
        <f>IF($E17="","",$E17)</f>
        <v/>
      </c>
      <c r="HD14" s="62" t="str">
        <f>IF($E18="","",$E18)</f>
        <v/>
      </c>
      <c r="HE14" s="62" t="str">
        <f>IF($E19="","",$E19)</f>
        <v/>
      </c>
      <c r="HF14" s="62" t="str">
        <f>IF($E20="","",$E20)</f>
        <v/>
      </c>
    </row>
    <row r="15" spans="1:215" ht="15.6" x14ac:dyDescent="0.3">
      <c r="A15" s="138">
        <v>1</v>
      </c>
      <c r="B15" s="139"/>
      <c r="C15" s="139"/>
      <c r="D15" s="184"/>
      <c r="E15" s="139"/>
      <c r="F15" s="184"/>
      <c r="G15" s="140"/>
      <c r="H15" s="71" t="str">
        <f>IF(OR($C$2="",B15="",C15="", E15="", G15=""),"",CONCATENATE(INDEX($BR$1:$DB$81,MATCH(C15,CU:CU,0),MATCH(CONCATENATE($C$2," Codif"),$BR$1:$DB$1,0)), INDEX($DW$3:$DY$36, MATCH(G15,$DW$3:$DW$40,0),3), LEFT($C$3,2), INDEX($DR$3:$DT$23, MATCH(CONCATENATE(B15," ",E15),$DR$3:$DR$23,0),3), " Cstm"))</f>
        <v/>
      </c>
      <c r="I15" s="184"/>
      <c r="J15" s="184"/>
      <c r="L15" s="184"/>
      <c r="M15" s="185"/>
      <c r="P15" s="195">
        <f t="shared" si="15"/>
        <v>0</v>
      </c>
      <c r="Q15" s="195">
        <f t="shared" si="16"/>
        <v>0</v>
      </c>
      <c r="R15" s="195">
        <f t="shared" si="17"/>
        <v>0</v>
      </c>
      <c r="S15" s="189">
        <f>IF($B15=$S$7,SUM(#REF!),0)</f>
        <v>0</v>
      </c>
      <c r="T15" s="189">
        <f>IF($B15=$T$7,SUM(#REF!),0)</f>
        <v>0</v>
      </c>
      <c r="U15" s="189">
        <f>IF($B15=$U$7,SUM(#REF!),0)</f>
        <v>0</v>
      </c>
      <c r="V15" s="189">
        <f>IF($B15=$V$7, SUM(#REF!),0)</f>
        <v>0</v>
      </c>
      <c r="W15" s="189" t="e">
        <f t="shared" si="18"/>
        <v>#DIV/0!</v>
      </c>
      <c r="X15" s="44">
        <f t="shared" ca="1" si="19"/>
        <v>0</v>
      </c>
      <c r="Y15" s="13">
        <f ca="1">IF($X$5=15,0,1)</f>
        <v>1</v>
      </c>
      <c r="AA15" s="127" t="e">
        <f t="shared" si="20"/>
        <v>#N/A</v>
      </c>
      <c r="AG15" s="56" t="s">
        <v>362</v>
      </c>
      <c r="AH15" s="66" t="s">
        <v>113</v>
      </c>
      <c r="AI15" s="26" t="s">
        <v>114</v>
      </c>
      <c r="AJ15" s="104" t="s">
        <v>115</v>
      </c>
      <c r="AK15" s="105" t="s">
        <v>362</v>
      </c>
      <c r="AL15" s="6"/>
      <c r="AM15" s="6"/>
      <c r="AN15" s="6"/>
      <c r="AO15" s="6"/>
      <c r="AP15" s="6"/>
      <c r="AQ15" s="6"/>
      <c r="AR15" s="56" t="s">
        <v>410</v>
      </c>
      <c r="AT15" s="90" t="s">
        <v>382</v>
      </c>
      <c r="AU15" s="15">
        <f t="shared" si="11"/>
        <v>94</v>
      </c>
      <c r="AV15" s="15">
        <f t="shared" si="7"/>
        <v>94</v>
      </c>
      <c r="AW15" s="15">
        <f t="shared" si="7"/>
        <v>94</v>
      </c>
      <c r="AX15" s="15">
        <f t="shared" si="7"/>
        <v>0</v>
      </c>
      <c r="AY15" s="15">
        <f t="shared" si="7"/>
        <v>0</v>
      </c>
      <c r="AZ15" s="15">
        <f t="shared" si="7"/>
        <v>400</v>
      </c>
      <c r="BA15" s="15">
        <f t="shared" si="7"/>
        <v>0</v>
      </c>
      <c r="BB15" s="15">
        <f t="shared" si="7"/>
        <v>0</v>
      </c>
      <c r="BC15" s="15">
        <f t="shared" si="7"/>
        <v>0</v>
      </c>
      <c r="BD15" s="15">
        <f t="shared" si="7"/>
        <v>0</v>
      </c>
      <c r="BE15" s="15">
        <f t="shared" si="7"/>
        <v>0</v>
      </c>
      <c r="BF15" s="15">
        <f t="shared" si="7"/>
        <v>0</v>
      </c>
      <c r="BG15" s="56"/>
      <c r="BH15" s="56"/>
      <c r="BI15" s="1" t="s">
        <v>310</v>
      </c>
      <c r="BJ15" s="1" t="s">
        <v>426</v>
      </c>
      <c r="BK15" s="1" t="s">
        <v>411</v>
      </c>
      <c r="BL15" s="4" t="s">
        <v>412</v>
      </c>
      <c r="BM15" s="1" t="s">
        <v>426</v>
      </c>
      <c r="BP15" s="4" t="s">
        <v>223</v>
      </c>
      <c r="BQ15" s="4"/>
      <c r="BR15" s="6" t="str">
        <f t="shared" si="8"/>
        <v>Classic Maple 12x24 Bass Drum</v>
      </c>
      <c r="BS15" s="4" t="s">
        <v>223</v>
      </c>
      <c r="BT15" s="71"/>
      <c r="BV15" s="6" t="str">
        <f t="shared" si="47"/>
        <v>Legacy Maple 20x22 Bass Drum</v>
      </c>
      <c r="BW15" s="4" t="s">
        <v>399</v>
      </c>
      <c r="BX15" s="67"/>
      <c r="BZ15" s="6" t="str">
        <f t="shared" si="48"/>
        <v>Legacy Mahogany 20x22 Bass Drum</v>
      </c>
      <c r="CA15" s="4" t="s">
        <v>399</v>
      </c>
      <c r="CB15" s="67"/>
      <c r="CC15" s="9"/>
      <c r="CD15" s="6" t="str">
        <f t="shared" si="49"/>
        <v>Legacy Exotic 20x22 Bass Drum</v>
      </c>
      <c r="CE15" s="4" t="s">
        <v>399</v>
      </c>
      <c r="CF15" s="70"/>
      <c r="CG15" s="23" t="s">
        <v>413</v>
      </c>
      <c r="CH15" s="4" t="s">
        <v>223</v>
      </c>
      <c r="CI15" s="70"/>
      <c r="CJ15" s="4"/>
      <c r="CK15" s="90"/>
      <c r="CL15" s="157"/>
      <c r="CM15" s="157"/>
      <c r="CN15" s="157"/>
      <c r="CO15" s="157"/>
      <c r="CP15" s="157"/>
      <c r="CQ15" s="70"/>
      <c r="CS15" s="157"/>
      <c r="CT15" s="70"/>
      <c r="CU15" s="4">
        <f t="shared" si="50"/>
        <v>0</v>
      </c>
      <c r="CV15" s="93" t="s">
        <v>414</v>
      </c>
      <c r="CW15" s="93" t="s">
        <v>415</v>
      </c>
      <c r="CX15" s="93" t="s">
        <v>416</v>
      </c>
      <c r="CY15" s="93" t="s">
        <v>417</v>
      </c>
      <c r="CZ15" s="93" t="s">
        <v>418</v>
      </c>
      <c r="DA15" s="70"/>
      <c r="DB15" s="13" t="s">
        <v>52</v>
      </c>
      <c r="DC15" s="16" t="str">
        <f t="shared" si="2"/>
        <v>Bass.16x22 Bass Drum</v>
      </c>
      <c r="DD15" s="4" t="s">
        <v>364</v>
      </c>
      <c r="DE15" s="69" t="str">
        <f t="shared" si="3"/>
        <v>MLLCLL</v>
      </c>
      <c r="DF15" s="13" t="s">
        <v>78</v>
      </c>
      <c r="DG15" s="13" t="s">
        <v>79</v>
      </c>
      <c r="DH15" s="13" t="s">
        <v>69</v>
      </c>
      <c r="DI15" s="13"/>
      <c r="DK15" s="13"/>
      <c r="DL15" s="13"/>
      <c r="DM15" s="13"/>
      <c r="DN15" s="13">
        <f t="shared" si="4"/>
        <v>0</v>
      </c>
      <c r="DO15" s="25" t="s">
        <v>353</v>
      </c>
      <c r="DP15" s="13"/>
      <c r="DR15" s="197" t="s">
        <v>419</v>
      </c>
      <c r="DS15" s="66">
        <f>CS139</f>
        <v>0</v>
      </c>
      <c r="DT15" s="71" t="s">
        <v>194</v>
      </c>
      <c r="DU15" s="13">
        <f t="shared" si="10"/>
        <v>0</v>
      </c>
      <c r="DW15" t="s">
        <v>420</v>
      </c>
      <c r="DX15" s="66" t="s">
        <v>86</v>
      </c>
      <c r="DY15" s="10" t="s">
        <v>87</v>
      </c>
      <c r="DZ15" s="13" t="s">
        <v>89</v>
      </c>
      <c r="EA15" s="13"/>
      <c r="EB15" s="13">
        <f>+EB3+EB4+EB10+EB13</f>
        <v>0</v>
      </c>
      <c r="EC15" s="16" t="s">
        <v>421</v>
      </c>
      <c r="ED15" s="26"/>
      <c r="EE15" s="26"/>
      <c r="EF15" s="24"/>
      <c r="EG15" s="24"/>
      <c r="EH15" s="24"/>
      <c r="EI15" s="24" t="s">
        <v>422</v>
      </c>
      <c r="EJ15" s="24" t="s">
        <v>422</v>
      </c>
      <c r="EK15" s="227"/>
      <c r="EL15" s="24"/>
      <c r="EM15" s="24"/>
      <c r="EN15" s="24" t="s">
        <v>302</v>
      </c>
      <c r="EO15" s="24"/>
      <c r="EP15" s="24"/>
      <c r="EQ15" s="24"/>
      <c r="ES15" s="14" t="s">
        <v>423</v>
      </c>
      <c r="ET15" s="24">
        <v>0</v>
      </c>
      <c r="EU15" s="26"/>
      <c r="EW15" s="81">
        <f t="shared" si="21"/>
        <v>0</v>
      </c>
      <c r="EX15" s="27"/>
      <c r="EY15" s="18"/>
      <c r="EZ15">
        <v>8</v>
      </c>
      <c r="FA15" s="43">
        <f t="shared" si="44"/>
        <v>0</v>
      </c>
      <c r="FB15" s="13" t="str">
        <f t="shared" si="22"/>
        <v/>
      </c>
      <c r="FC15" s="13" t="str">
        <f t="shared" ref="FC15:FC20" si="51">IF(B15="Bass",E15,"")</f>
        <v/>
      </c>
      <c r="FD15" s="13" t="str">
        <f t="shared" si="45"/>
        <v>Double</v>
      </c>
      <c r="FF15" s="99"/>
      <c r="FG15" s="7"/>
      <c r="FJ15" s="13">
        <f t="shared" si="24"/>
        <v>0</v>
      </c>
      <c r="FK15" s="40">
        <v>15</v>
      </c>
      <c r="FL15" s="13">
        <f t="shared" si="25"/>
        <v>1</v>
      </c>
      <c r="FM15">
        <f t="shared" si="26"/>
        <v>0</v>
      </c>
      <c r="FN15">
        <f t="shared" si="27"/>
        <v>0</v>
      </c>
      <c r="FO15" s="35">
        <f t="shared" si="28"/>
        <v>0</v>
      </c>
      <c r="FP15">
        <f t="shared" si="29"/>
        <v>0</v>
      </c>
      <c r="FQ15" s="35">
        <f t="shared" si="30"/>
        <v>0</v>
      </c>
      <c r="FR15" s="36">
        <f t="shared" si="31"/>
        <v>0</v>
      </c>
      <c r="FS15" s="98" t="str">
        <f t="shared" si="32"/>
        <v xml:space="preserve"> </v>
      </c>
      <c r="FU15" s="44">
        <f t="shared" ca="1" si="33"/>
        <v>0</v>
      </c>
      <c r="FV15" s="44" t="str">
        <f t="shared" ca="1" si="34"/>
        <v/>
      </c>
      <c r="FW15" s="44" t="str">
        <f t="shared" ca="1" si="35"/>
        <v/>
      </c>
      <c r="FX15" s="71" t="str">
        <f t="shared" si="36"/>
        <v/>
      </c>
      <c r="FY15" s="71" t="str">
        <f t="shared" si="37"/>
        <v/>
      </c>
      <c r="FZ15" s="71" t="str">
        <f t="shared" si="38"/>
        <v/>
      </c>
      <c r="GA15" s="71" t="str">
        <f t="shared" si="39"/>
        <v/>
      </c>
      <c r="GB15" s="71" t="str">
        <f t="shared" si="40"/>
        <v/>
      </c>
      <c r="GC15" s="119" t="str">
        <f t="shared" si="41"/>
        <v>TT_Double</v>
      </c>
      <c r="GD15" s="43" t="str">
        <f t="shared" si="42"/>
        <v>FT_Double</v>
      </c>
      <c r="GE15" s="120" t="str">
        <f t="shared" si="43"/>
        <v>BD_Double</v>
      </c>
      <c r="GF15" s="43"/>
      <c r="GG15" s="4" t="s">
        <v>424</v>
      </c>
      <c r="GH15" s="43">
        <f t="shared" si="46"/>
        <v>0</v>
      </c>
      <c r="GI15" s="43"/>
      <c r="GJ15" s="43"/>
      <c r="GS15" s="58" t="s">
        <v>425</v>
      </c>
      <c r="GT15" s="88" t="str">
        <f>IF($B$8="","",IF(AND($B$8="Bass",$B$30="Single"),"Single Head",IF(AND($B$8="Tom",$B$36="Single"),"Single Head",IF(AND($B$8="Floor",$B$42="Single"),"Single Head","Double Head"))))</f>
        <v/>
      </c>
      <c r="GU15" s="88" t="str">
        <f>IF($B$9="","",IF(AND($B$9="Bass",$B$30="Single"),"Single Head",IF(AND($B$9="Tom",$B$36="Single"),"Single Head",IF(AND($B$9="Floor",$B$42="Single"),"Single Head","Double Head"))))</f>
        <v/>
      </c>
      <c r="GV15" s="88" t="str">
        <f>IF($B$10="","",IF(AND($B$10="Bass",$B$30="Single"),"Single Head",IF(AND($B$10="Tom",$B$36="Single"),"Single Head",IF(AND($B$10="Floor",$B$42="Single"),"Single Head","Double Head"))))</f>
        <v/>
      </c>
      <c r="GW15" s="88" t="str">
        <f>IF($B$11="","",IF(AND($B$11="Bass",$B$30="Single"),"Single Head",IF(AND($B$11="Tom",$B$36="Single"),"Single Head",IF(AND($B$11="Floor",$B$42="Single"),"Single Head","Double Head"))))</f>
        <v/>
      </c>
      <c r="GX15" s="88" t="str">
        <f>IF($B$12="","",IF(AND($B$12="Bass",$B$30="Single"),"Single Head",IF(AND($B$12="Tom",$B$36="Single"),"Single Head",IF(AND($B$12="Floor",$B$42="Single"),"Single Head","Double Head"))))</f>
        <v/>
      </c>
      <c r="GY15" s="88" t="str">
        <f>IF($B$13="","",IF(AND($B$13="Bass",$B$30="Single"),"Single Head",IF(AND($B$13="Tom",$B$36="Single"),"Single Head",IF(AND($B$13="Floor",$B$42="Single"),"Single Head","Double Head"))))</f>
        <v/>
      </c>
      <c r="GZ15" s="88" t="str">
        <f>IF($B$14="","",IF(AND($B$14="Bass",$B$30="Single"),"Single Head",IF(AND($B$14="Tom",$B$36="Single"),"Single Head",IF(AND($B$14="Floor",$B$42="Single"),"Single Head","Double Head"))))</f>
        <v/>
      </c>
      <c r="HA15" s="88" t="str">
        <f>IF($B$15="","",IF(AND($B$15="Bass",$B$30="Single"),"Single Head",IF(AND($B$15="Tom",$B$36="Single"),"Single Head",IF(AND($B$15="Floor",$B$42="Single"),"Single Head","Double Head"))))</f>
        <v/>
      </c>
      <c r="HB15" s="88" t="str">
        <f>IF($B$16="","",IF(AND($B$16="Bass",$B$30="Single"),"Single Head",IF(AND($B$16="Tom",$B$36="Single"),"Single Head",IF(AND($B$16="Floor",$B$42="Single"),"Single Head","Double Head"))))</f>
        <v/>
      </c>
      <c r="HC15" s="88" t="str">
        <f>IF($B$17="","",IF(AND($B$17="Bass",$B$30="Single"),"Single Head",IF(AND($B$17="Tom",$B$36="Single"),"Single Head",IF(AND($B$17="Floor",$B$42="Single"),"Single Head","Double Head"))))</f>
        <v/>
      </c>
      <c r="HD15" s="88" t="str">
        <f>IF($B$18="","",IF(AND($B$18="Bass",$B$30="Single"),"Single Head",IF(AND($B$18="Tom",$B$36="Single"),"Single Head",IF(AND($B$18="Floor",$B$42="Single"),"Single Head","Double Head"))))</f>
        <v/>
      </c>
      <c r="HE15" s="88" t="str">
        <f>IF($B$19="","",IF(AND($B$19="Bass",$B$30="Single"),"Single Head",IF(AND($B$19="Tom",$B$36="Single"),"Single Head",IF(AND($B$19="Floor",$B$42="Single"),"Single Head","Double Head"))))</f>
        <v/>
      </c>
      <c r="HF15" s="88" t="str">
        <f>IF($B$20="","",IF(AND($B$20="Bass",$B$30="Single"),"Single Head",IF(AND($B$20="Tom",$B$36="Single"),"Single Head",IF(AND($B$20="Floor",$B$42="Single"),"Single Head","Double Head"))))</f>
        <v/>
      </c>
    </row>
    <row r="16" spans="1:215" ht="15.6" x14ac:dyDescent="0.3">
      <c r="A16" s="138">
        <v>1</v>
      </c>
      <c r="B16" s="139"/>
      <c r="C16" s="139"/>
      <c r="D16" s="184"/>
      <c r="E16" s="139"/>
      <c r="F16" s="184"/>
      <c r="G16" s="140"/>
      <c r="H16" s="71" t="str">
        <f>IF(OR($C$2="",B16="",C16="", E16="", G16=""),"",CONCATENATE(INDEX($BR$1:$DB$81,MATCH(C16,CU:CU,0),MATCH(CONCATENATE($C$2," Codif"),$BR$1:$DB$1,0)), INDEX($DW$3:$DY$36, MATCH(G16,$DW$3:$DW$40,0),3), LEFT($C$3,2), INDEX($DR$3:$DT$23, MATCH(CONCATENATE(B16," ",E16),$DR$3:$DR$23,0),3), " Cstm"))</f>
        <v/>
      </c>
      <c r="I16" s="184"/>
      <c r="J16" s="184"/>
      <c r="L16" s="184"/>
      <c r="M16" s="185"/>
      <c r="P16" s="195">
        <f t="shared" si="15"/>
        <v>0</v>
      </c>
      <c r="Q16" s="195">
        <f t="shared" si="16"/>
        <v>0</v>
      </c>
      <c r="R16" s="195">
        <f t="shared" si="17"/>
        <v>0</v>
      </c>
      <c r="S16" s="189">
        <f>IF($B16=$S$7,SUM(#REF!),0)</f>
        <v>0</v>
      </c>
      <c r="T16" s="189">
        <f>IF($B16=$T$7,SUM(#REF!),0)</f>
        <v>0</v>
      </c>
      <c r="U16" s="189">
        <f>IF($B16=$U$7,SUM(#REF!),0)</f>
        <v>0</v>
      </c>
      <c r="V16" s="189">
        <f>IF($B16=$V$7, SUM(#REF!),0)</f>
        <v>0</v>
      </c>
      <c r="W16" s="189" t="e">
        <f t="shared" si="18"/>
        <v>#DIV/0!</v>
      </c>
      <c r="X16" s="44">
        <f t="shared" ca="1" si="19"/>
        <v>0</v>
      </c>
      <c r="Y16" s="13">
        <f ca="1">IF($X$5=16,0,1)</f>
        <v>1</v>
      </c>
      <c r="AA16" s="127" t="e">
        <f t="shared" si="20"/>
        <v>#N/A</v>
      </c>
      <c r="AG16" s="56" t="s">
        <v>379</v>
      </c>
      <c r="AH16" s="66" t="s">
        <v>113</v>
      </c>
      <c r="AI16" s="26" t="s">
        <v>114</v>
      </c>
      <c r="AJ16" s="104" t="s">
        <v>115</v>
      </c>
      <c r="AK16" s="130" t="s">
        <v>379</v>
      </c>
      <c r="AL16" s="6"/>
      <c r="AM16" s="6"/>
      <c r="AN16" s="6"/>
      <c r="AO16" s="6"/>
      <c r="AP16" s="6"/>
      <c r="AQ16" s="6"/>
      <c r="AR16" s="56" t="str">
        <f>IF(C2 = "Classic Oak","Clear Lacquer",IF(C5 = "Resa-Cote","Resa-Cote","Clear Lacquer"))</f>
        <v>Clear Lacquer</v>
      </c>
      <c r="AT16" s="90" t="s">
        <v>400</v>
      </c>
      <c r="AU16" s="15">
        <f t="shared" si="11"/>
        <v>94</v>
      </c>
      <c r="AV16" s="15">
        <f t="shared" si="7"/>
        <v>94</v>
      </c>
      <c r="AW16" s="15">
        <f t="shared" si="7"/>
        <v>94</v>
      </c>
      <c r="AX16" s="15">
        <f t="shared" si="7"/>
        <v>0</v>
      </c>
      <c r="AY16" s="15">
        <f t="shared" si="7"/>
        <v>0</v>
      </c>
      <c r="AZ16" s="15">
        <f t="shared" si="7"/>
        <v>400</v>
      </c>
      <c r="BA16" s="15">
        <f t="shared" si="7"/>
        <v>0</v>
      </c>
      <c r="BB16" s="15">
        <f t="shared" si="7"/>
        <v>0</v>
      </c>
      <c r="BC16" s="15">
        <f t="shared" si="7"/>
        <v>0</v>
      </c>
      <c r="BD16" s="15">
        <f t="shared" si="7"/>
        <v>0</v>
      </c>
      <c r="BE16" s="15">
        <f t="shared" si="7"/>
        <v>0</v>
      </c>
      <c r="BF16" s="15">
        <f t="shared" si="7"/>
        <v>0</v>
      </c>
      <c r="BG16" s="56"/>
      <c r="BH16" s="56"/>
      <c r="BI16" s="1" t="s">
        <v>328</v>
      </c>
      <c r="BJ16" s="130" t="s">
        <v>1198</v>
      </c>
      <c r="BK16" s="1" t="s">
        <v>426</v>
      </c>
      <c r="BL16" s="4" t="s">
        <v>427</v>
      </c>
      <c r="BM16" s="130" t="s">
        <v>1198</v>
      </c>
      <c r="BP16" s="4" t="s">
        <v>352</v>
      </c>
      <c r="BQ16" s="4"/>
      <c r="BR16" s="6" t="str">
        <f t="shared" si="8"/>
        <v>Classic Maple 14x24 Bass Drum</v>
      </c>
      <c r="BS16" s="4" t="s">
        <v>352</v>
      </c>
      <c r="BT16" s="71"/>
      <c r="BV16" s="6" t="str">
        <f t="shared" si="47"/>
        <v>Legacy Maple 12x24 Bass Drum</v>
      </c>
      <c r="BW16" s="4" t="s">
        <v>223</v>
      </c>
      <c r="BX16" s="67"/>
      <c r="BZ16" s="6" t="str">
        <f t="shared" si="48"/>
        <v>Legacy Mahogany 12x24 Bass Drum</v>
      </c>
      <c r="CA16" s="4" t="s">
        <v>223</v>
      </c>
      <c r="CB16" s="67"/>
      <c r="CC16" s="9"/>
      <c r="CD16" s="6" t="str">
        <f t="shared" si="49"/>
        <v>Legacy Exotic 12x24 Bass Drum</v>
      </c>
      <c r="CE16" s="4" t="s">
        <v>223</v>
      </c>
      <c r="CF16" s="70"/>
      <c r="CG16" s="23" t="s">
        <v>428</v>
      </c>
      <c r="CH16" s="4" t="s">
        <v>352</v>
      </c>
      <c r="CI16" s="70"/>
      <c r="CJ16" s="4"/>
      <c r="CK16" s="90"/>
      <c r="CL16" s="157"/>
      <c r="CM16" s="157"/>
      <c r="CN16" s="157"/>
      <c r="CO16" s="157"/>
      <c r="CP16" s="157"/>
      <c r="CQ16" s="70"/>
      <c r="CS16" s="157"/>
      <c r="CT16" s="70"/>
      <c r="CU16" s="4">
        <f t="shared" si="50"/>
        <v>0</v>
      </c>
      <c r="CV16" s="93" t="s">
        <v>429</v>
      </c>
      <c r="CW16" s="93" t="s">
        <v>430</v>
      </c>
      <c r="CX16" s="93" t="s">
        <v>431</v>
      </c>
      <c r="CY16" s="93" t="s">
        <v>432</v>
      </c>
      <c r="CZ16" s="93" t="s">
        <v>433</v>
      </c>
      <c r="DA16" s="70"/>
      <c r="DB16" s="13" t="s">
        <v>52</v>
      </c>
      <c r="DC16" s="16" t="str">
        <f t="shared" si="2"/>
        <v>Bass.16x24 Bass Drum</v>
      </c>
      <c r="DD16" s="4" t="s">
        <v>434</v>
      </c>
      <c r="DE16" s="69" t="str">
        <f t="shared" si="3"/>
        <v>MLLCLL</v>
      </c>
      <c r="DF16" s="13" t="s">
        <v>78</v>
      </c>
      <c r="DG16" s="13" t="s">
        <v>79</v>
      </c>
      <c r="DH16" s="13" t="s">
        <v>69</v>
      </c>
      <c r="DI16" s="13"/>
      <c r="DK16" s="13"/>
      <c r="DL16" s="13"/>
      <c r="DM16" s="13"/>
      <c r="DN16" s="13">
        <f t="shared" si="4"/>
        <v>0</v>
      </c>
      <c r="DO16" s="25" t="s">
        <v>353</v>
      </c>
      <c r="DP16" s="13"/>
      <c r="DR16" t="s">
        <v>435</v>
      </c>
      <c r="DS16" s="66">
        <f t="shared" ref="DS16:DS22" si="52">CS129</f>
        <v>0</v>
      </c>
      <c r="DT16" s="71" t="s">
        <v>225</v>
      </c>
      <c r="DU16" s="13">
        <f t="shared" si="10"/>
        <v>0</v>
      </c>
      <c r="DW16" t="s">
        <v>436</v>
      </c>
      <c r="DX16" s="66">
        <f t="shared" ref="DX16:DX23" si="53">CS94</f>
        <v>0</v>
      </c>
      <c r="DY16" s="71" t="s">
        <v>143</v>
      </c>
      <c r="DZ16" s="13">
        <v>0</v>
      </c>
      <c r="EA16" s="13"/>
      <c r="EB16" s="13">
        <f>+EB5+EB8+EB9+EB11</f>
        <v>0</v>
      </c>
      <c r="EC16" s="16" t="s">
        <v>437</v>
      </c>
      <c r="ED16" s="26"/>
      <c r="EE16" s="26"/>
      <c r="EF16" s="24"/>
      <c r="EG16" s="24"/>
      <c r="EH16" s="24"/>
      <c r="EI16" s="24" t="s">
        <v>390</v>
      </c>
      <c r="EJ16" s="24" t="s">
        <v>390</v>
      </c>
      <c r="EK16" s="24"/>
      <c r="EL16" s="24"/>
      <c r="EM16" s="24"/>
      <c r="EN16" s="24" t="s">
        <v>374</v>
      </c>
      <c r="EO16" s="24"/>
      <c r="EP16" s="24"/>
      <c r="EQ16" s="24"/>
      <c r="ES16" s="14" t="s">
        <v>438</v>
      </c>
      <c r="ET16" s="24">
        <v>0</v>
      </c>
      <c r="EU16" s="26"/>
      <c r="EW16" s="81">
        <f t="shared" si="21"/>
        <v>0</v>
      </c>
      <c r="EX16" s="27"/>
      <c r="EY16" s="18"/>
      <c r="EZ16">
        <v>9</v>
      </c>
      <c r="FA16" s="43">
        <f t="shared" si="44"/>
        <v>0</v>
      </c>
      <c r="FB16" s="13" t="str">
        <f t="shared" si="22"/>
        <v/>
      </c>
      <c r="FC16" s="13" t="str">
        <f t="shared" si="51"/>
        <v/>
      </c>
      <c r="FD16" s="13" t="str">
        <f t="shared" si="45"/>
        <v>Double</v>
      </c>
      <c r="FF16" s="99"/>
      <c r="FG16" s="7"/>
      <c r="FJ16" s="13">
        <f t="shared" si="24"/>
        <v>0</v>
      </c>
      <c r="FK16" s="40">
        <v>16</v>
      </c>
      <c r="FL16" s="13">
        <f t="shared" si="25"/>
        <v>1</v>
      </c>
      <c r="FM16">
        <f t="shared" si="26"/>
        <v>0</v>
      </c>
      <c r="FN16">
        <f t="shared" si="27"/>
        <v>0</v>
      </c>
      <c r="FO16" s="35">
        <f t="shared" si="28"/>
        <v>0</v>
      </c>
      <c r="FP16">
        <f t="shared" si="29"/>
        <v>0</v>
      </c>
      <c r="FQ16" s="35">
        <f t="shared" si="30"/>
        <v>0</v>
      </c>
      <c r="FR16" s="36">
        <f t="shared" si="31"/>
        <v>0</v>
      </c>
      <c r="FS16" s="98" t="str">
        <f t="shared" si="32"/>
        <v xml:space="preserve"> </v>
      </c>
      <c r="FU16" s="44">
        <f t="shared" ca="1" si="33"/>
        <v>0</v>
      </c>
      <c r="FV16" s="44" t="str">
        <f t="shared" ca="1" si="34"/>
        <v/>
      </c>
      <c r="FW16" s="44" t="str">
        <f t="shared" ca="1" si="35"/>
        <v/>
      </c>
      <c r="FX16" s="71" t="str">
        <f t="shared" si="36"/>
        <v/>
      </c>
      <c r="FY16" s="71" t="str">
        <f t="shared" si="37"/>
        <v/>
      </c>
      <c r="FZ16" s="71" t="str">
        <f t="shared" si="38"/>
        <v/>
      </c>
      <c r="GA16" s="71" t="str">
        <f t="shared" si="39"/>
        <v/>
      </c>
      <c r="GB16" s="71" t="str">
        <f t="shared" si="40"/>
        <v/>
      </c>
      <c r="GC16" s="119" t="str">
        <f t="shared" si="41"/>
        <v>TT_Double</v>
      </c>
      <c r="GD16" s="43" t="str">
        <f t="shared" si="42"/>
        <v>FT_Double</v>
      </c>
      <c r="GE16" s="120" t="str">
        <f t="shared" si="43"/>
        <v>BD_Double</v>
      </c>
      <c r="GF16" s="43"/>
      <c r="GG16" s="4" t="s">
        <v>439</v>
      </c>
      <c r="GH16" s="43">
        <f t="shared" si="46"/>
        <v>0</v>
      </c>
      <c r="GI16" s="43"/>
      <c r="GJ16" s="43"/>
      <c r="GS16" s="58" t="s">
        <v>440</v>
      </c>
      <c r="GT16" s="89" t="str">
        <f>IF(AND($B$8="Bass",$G$8&lt;&gt;""),$G$8,"")</f>
        <v/>
      </c>
      <c r="GU16" s="89" t="str">
        <f>IF(AND($B$9="Bass",$G$9&lt;&gt;""),$G$9,"")</f>
        <v/>
      </c>
      <c r="GV16" s="89" t="str">
        <f>IF(AND($B$10="Bass",$G$10&lt;&gt;""),$G$10,"")</f>
        <v/>
      </c>
      <c r="GW16" s="89" t="str">
        <f>IF(AND($B$11="Bass",$G$11&lt;&gt;""),$G$11,"")</f>
        <v/>
      </c>
      <c r="GX16" s="89" t="str">
        <f>IF(AND($B$12="Bass",$G$12&lt;&gt;""),$G$12,"")</f>
        <v/>
      </c>
      <c r="GY16" s="89" t="str">
        <f>IF(AND($B$13="Bass",$G$13&lt;&gt;""),$G$13,"")</f>
        <v/>
      </c>
      <c r="GZ16" s="89" t="str">
        <f>IF(AND($B$14="Bass",$G$14&lt;&gt;""),$G$14,"")</f>
        <v/>
      </c>
      <c r="HA16" s="89" t="str">
        <f>IF(AND($B$15="Bass",$G$15&lt;&gt;""),$G$15,"")</f>
        <v/>
      </c>
      <c r="HB16" s="89" t="str">
        <f>IF(AND($B$16="Bass",$G$16&lt;&gt;""),$G$16,"")</f>
        <v/>
      </c>
      <c r="HC16" s="89" t="str">
        <f>IF(AND($B$17="Bass",$G$17&lt;&gt;""),$G$17,"")</f>
        <v/>
      </c>
      <c r="HD16" s="89" t="str">
        <f>IF(AND($B$18="Bass",$G$18&lt;&gt;""),$G$18,"")</f>
        <v/>
      </c>
      <c r="HE16" s="89" t="str">
        <f>IF(AND($B$19="Bass",$G$19&lt;&gt;""),$G$19,"")</f>
        <v/>
      </c>
      <c r="HF16" s="89" t="str">
        <f>IF(AND($B$20="Bass",$G$20&lt;&gt;""),$G$20,"")</f>
        <v/>
      </c>
    </row>
    <row r="17" spans="1:215" ht="15.6" x14ac:dyDescent="0.3">
      <c r="A17" s="138">
        <v>1</v>
      </c>
      <c r="B17" s="139"/>
      <c r="C17" s="139"/>
      <c r="D17" s="184"/>
      <c r="E17" s="139"/>
      <c r="F17" s="184"/>
      <c r="G17" s="140"/>
      <c r="H17" s="71" t="str">
        <f>IF(OR($C$2="",B17="",C17="", E17="", G17=""),"",CONCATENATE(INDEX($BR$1:$DB$81,MATCH(C17,CU:CU,0),MATCH(CONCATENATE($C$2," Codif"),$BR$1:$DB$1,0)), INDEX($DW$3:$DY$36, MATCH(G17,$DW$3:$DW$40,0),3), LEFT($C$3,2), INDEX($DR$3:$DT$23, MATCH(CONCATENATE(B17," ",E17),$DR$3:$DR$23,0),3), " Cstm"))</f>
        <v/>
      </c>
      <c r="I17" s="184"/>
      <c r="J17" s="184"/>
      <c r="L17" s="184"/>
      <c r="M17" s="185"/>
      <c r="P17" s="195">
        <f t="shared" si="15"/>
        <v>0</v>
      </c>
      <c r="Q17" s="195">
        <f t="shared" si="16"/>
        <v>0</v>
      </c>
      <c r="R17" s="195">
        <f t="shared" si="17"/>
        <v>0</v>
      </c>
      <c r="S17" s="189">
        <f>IF($B17=$S$7,SUM(#REF!),0)</f>
        <v>0</v>
      </c>
      <c r="T17" s="189">
        <f>IF($B17=$T$7,SUM(#REF!),0)</f>
        <v>0</v>
      </c>
      <c r="U17" s="189">
        <f>IF($B17=$U$7,SUM(#REF!),0)</f>
        <v>0</v>
      </c>
      <c r="V17" s="189">
        <f>IF($B17=$V$7, SUM(#REF!),0)</f>
        <v>0</v>
      </c>
      <c r="W17" s="189" t="e">
        <f t="shared" si="18"/>
        <v>#DIV/0!</v>
      </c>
      <c r="X17" s="44">
        <f t="shared" ca="1" si="19"/>
        <v>0</v>
      </c>
      <c r="Y17" s="13">
        <f ca="1">IF($X$5=17,0,1)</f>
        <v>1</v>
      </c>
      <c r="AA17" s="127" t="e">
        <f t="shared" si="20"/>
        <v>#N/A</v>
      </c>
      <c r="AE17" s="2" t="s">
        <v>149</v>
      </c>
      <c r="AF17" s="2"/>
      <c r="AG17" s="56" t="s">
        <v>411</v>
      </c>
      <c r="AH17" s="66" t="s">
        <v>113</v>
      </c>
      <c r="AI17" s="26" t="s">
        <v>114</v>
      </c>
      <c r="AJ17" s="104" t="s">
        <v>115</v>
      </c>
      <c r="AK17" s="105" t="s">
        <v>411</v>
      </c>
      <c r="AL17" s="6"/>
      <c r="AM17" s="6" t="s">
        <v>441</v>
      </c>
      <c r="AN17" s="6"/>
      <c r="AO17" s="6"/>
      <c r="AP17" s="6"/>
      <c r="AQ17" s="6"/>
      <c r="AR17" s="6"/>
      <c r="AT17" s="90" t="s">
        <v>413</v>
      </c>
      <c r="AU17" s="15">
        <f t="shared" si="11"/>
        <v>94</v>
      </c>
      <c r="AV17" s="15">
        <f t="shared" si="7"/>
        <v>94</v>
      </c>
      <c r="AW17" s="15">
        <f t="shared" si="7"/>
        <v>94</v>
      </c>
      <c r="AX17" s="15">
        <f t="shared" si="7"/>
        <v>0</v>
      </c>
      <c r="AY17" s="15">
        <f t="shared" si="7"/>
        <v>0</v>
      </c>
      <c r="AZ17" s="15">
        <f t="shared" si="7"/>
        <v>400</v>
      </c>
      <c r="BA17" s="15">
        <f t="shared" si="7"/>
        <v>0</v>
      </c>
      <c r="BB17" s="15">
        <f t="shared" si="7"/>
        <v>0</v>
      </c>
      <c r="BC17" s="15">
        <f t="shared" si="7"/>
        <v>0</v>
      </c>
      <c r="BD17" s="15">
        <f t="shared" si="7"/>
        <v>0</v>
      </c>
      <c r="BE17" s="15">
        <f t="shared" si="7"/>
        <v>0</v>
      </c>
      <c r="BF17" s="15">
        <f t="shared" si="7"/>
        <v>0</v>
      </c>
      <c r="BG17" s="6"/>
      <c r="BH17" s="56"/>
      <c r="BI17" s="1" t="s">
        <v>309</v>
      </c>
      <c r="BJ17" s="1" t="s">
        <v>442</v>
      </c>
      <c r="BK17" s="130" t="s">
        <v>1198</v>
      </c>
      <c r="BL17" s="4" t="s">
        <v>443</v>
      </c>
      <c r="BM17" s="1" t="s">
        <v>442</v>
      </c>
      <c r="BP17" s="4" t="s">
        <v>434</v>
      </c>
      <c r="BQ17" s="4"/>
      <c r="BR17" s="6" t="str">
        <f t="shared" si="8"/>
        <v>Classic Maple 16x24 Bass Drum</v>
      </c>
      <c r="BS17" s="4" t="s">
        <v>434</v>
      </c>
      <c r="BT17" s="71"/>
      <c r="BV17" s="6" t="str">
        <f t="shared" si="47"/>
        <v>Legacy Maple 14x24 Bass Drum</v>
      </c>
      <c r="BW17" s="4" t="s">
        <v>352</v>
      </c>
      <c r="BX17" s="67"/>
      <c r="BZ17" s="6" t="str">
        <f t="shared" si="48"/>
        <v>Legacy Mahogany 14x24 Bass Drum</v>
      </c>
      <c r="CA17" s="4" t="s">
        <v>352</v>
      </c>
      <c r="CB17" s="67"/>
      <c r="CC17" s="9"/>
      <c r="CD17" s="6" t="str">
        <f t="shared" si="49"/>
        <v>Legacy Exotic 14x24 Bass Drum</v>
      </c>
      <c r="CE17" s="4" t="s">
        <v>352</v>
      </c>
      <c r="CF17" s="70"/>
      <c r="CG17" s="23" t="s">
        <v>444</v>
      </c>
      <c r="CH17" s="4" t="s">
        <v>434</v>
      </c>
      <c r="CI17" s="70"/>
      <c r="CJ17" s="4"/>
      <c r="CK17" s="90"/>
      <c r="CL17" s="157"/>
      <c r="CM17" s="157"/>
      <c r="CN17" s="157"/>
      <c r="CO17" s="157"/>
      <c r="CP17" s="157"/>
      <c r="CQ17" s="70"/>
      <c r="CS17" s="157"/>
      <c r="CT17" s="70"/>
      <c r="CU17" s="4">
        <f t="shared" si="50"/>
        <v>0</v>
      </c>
      <c r="CV17" s="93" t="s">
        <v>445</v>
      </c>
      <c r="CW17" s="93" t="s">
        <v>446</v>
      </c>
      <c r="CX17" s="93" t="s">
        <v>447</v>
      </c>
      <c r="CY17" s="93" t="s">
        <v>448</v>
      </c>
      <c r="CZ17" s="93" t="s">
        <v>449</v>
      </c>
      <c r="DA17" s="70"/>
      <c r="DB17" s="13" t="s">
        <v>52</v>
      </c>
      <c r="DC17" s="16" t="str">
        <f t="shared" si="2"/>
        <v>Bass.16x26 Bass Drum</v>
      </c>
      <c r="DD17" s="4" t="s">
        <v>450</v>
      </c>
      <c r="DE17" s="69" t="str">
        <f t="shared" si="3"/>
        <v>MLLCLL</v>
      </c>
      <c r="DF17" s="13" t="s">
        <v>78</v>
      </c>
      <c r="DG17" s="13" t="s">
        <v>79</v>
      </c>
      <c r="DH17" s="13" t="s">
        <v>69</v>
      </c>
      <c r="DI17" s="13"/>
      <c r="DK17" s="13"/>
      <c r="DL17" s="13"/>
      <c r="DM17" s="13"/>
      <c r="DN17" s="13">
        <f t="shared" si="4"/>
        <v>0</v>
      </c>
      <c r="DO17" s="25" t="s">
        <v>353</v>
      </c>
      <c r="DP17" s="13"/>
      <c r="DR17" t="s">
        <v>451</v>
      </c>
      <c r="DS17" s="66">
        <f t="shared" si="52"/>
        <v>0</v>
      </c>
      <c r="DT17" s="71" t="s">
        <v>261</v>
      </c>
      <c r="DU17" s="13">
        <f t="shared" si="10"/>
        <v>0</v>
      </c>
      <c r="DW17" t="s">
        <v>452</v>
      </c>
      <c r="DX17" s="66">
        <f t="shared" si="53"/>
        <v>0</v>
      </c>
      <c r="DY17" s="71" t="s">
        <v>70</v>
      </c>
      <c r="DZ17" s="13">
        <v>9</v>
      </c>
      <c r="EA17" s="13"/>
      <c r="EB17" s="13">
        <f>+EB6+EB7+EB12</f>
        <v>0</v>
      </c>
      <c r="EC17" s="16" t="s">
        <v>453</v>
      </c>
      <c r="ED17" s="26"/>
      <c r="EE17" s="26"/>
      <c r="EF17" s="24"/>
      <c r="EG17" s="24"/>
      <c r="EH17" s="24"/>
      <c r="EI17" s="227"/>
      <c r="EJ17" s="227"/>
      <c r="EK17" s="24"/>
      <c r="EL17" s="24"/>
      <c r="EM17" s="24"/>
      <c r="EN17" s="24"/>
      <c r="EO17" s="24"/>
      <c r="EP17" s="24"/>
      <c r="EQ17" s="24"/>
      <c r="ES17" s="55" t="s">
        <v>454</v>
      </c>
      <c r="ET17" s="24">
        <v>0</v>
      </c>
      <c r="EU17" s="26"/>
      <c r="EW17" s="81">
        <f t="shared" si="21"/>
        <v>0</v>
      </c>
      <c r="EX17" s="27"/>
      <c r="EY17" s="18"/>
      <c r="EZ17">
        <v>10</v>
      </c>
      <c r="FA17" s="43">
        <f t="shared" si="44"/>
        <v>0</v>
      </c>
      <c r="FB17" s="13" t="str">
        <f t="shared" si="22"/>
        <v/>
      </c>
      <c r="FC17" s="13" t="str">
        <f t="shared" si="51"/>
        <v/>
      </c>
      <c r="FD17" s="13" t="str">
        <f t="shared" si="45"/>
        <v>Double</v>
      </c>
      <c r="FF17" s="99"/>
      <c r="FG17" s="7"/>
      <c r="FJ17" s="13">
        <f t="shared" si="24"/>
        <v>0</v>
      </c>
      <c r="FK17" s="40">
        <v>17</v>
      </c>
      <c r="FL17" s="13">
        <f t="shared" si="25"/>
        <v>1</v>
      </c>
      <c r="FM17">
        <f t="shared" si="26"/>
        <v>0</v>
      </c>
      <c r="FN17">
        <f t="shared" si="27"/>
        <v>0</v>
      </c>
      <c r="FO17" s="35">
        <f t="shared" si="28"/>
        <v>0</v>
      </c>
      <c r="FP17">
        <f t="shared" si="29"/>
        <v>0</v>
      </c>
      <c r="FQ17" s="35">
        <f t="shared" si="30"/>
        <v>0</v>
      </c>
      <c r="FR17" s="36">
        <f t="shared" si="31"/>
        <v>0</v>
      </c>
      <c r="FS17" s="98" t="str">
        <f t="shared" si="32"/>
        <v xml:space="preserve"> </v>
      </c>
      <c r="FU17" s="44">
        <f t="shared" ca="1" si="33"/>
        <v>0</v>
      </c>
      <c r="FV17" s="44" t="str">
        <f t="shared" ca="1" si="34"/>
        <v/>
      </c>
      <c r="FW17" s="44" t="str">
        <f t="shared" ca="1" si="35"/>
        <v/>
      </c>
      <c r="FX17" s="71" t="str">
        <f t="shared" si="36"/>
        <v/>
      </c>
      <c r="FY17" s="71" t="str">
        <f t="shared" si="37"/>
        <v/>
      </c>
      <c r="FZ17" s="71" t="str">
        <f t="shared" si="38"/>
        <v/>
      </c>
      <c r="GA17" s="71" t="str">
        <f t="shared" si="39"/>
        <v/>
      </c>
      <c r="GB17" s="71" t="str">
        <f t="shared" si="40"/>
        <v/>
      </c>
      <c r="GC17" s="119" t="str">
        <f t="shared" si="41"/>
        <v>TT_Double</v>
      </c>
      <c r="GD17" s="43" t="str">
        <f t="shared" si="42"/>
        <v>FT_Double</v>
      </c>
      <c r="GE17" s="120" t="str">
        <f t="shared" si="43"/>
        <v>BD_Double</v>
      </c>
      <c r="GF17" s="43"/>
      <c r="GG17" s="4" t="s">
        <v>455</v>
      </c>
      <c r="GH17" s="43">
        <f t="shared" si="46"/>
        <v>0</v>
      </c>
      <c r="GI17" s="43"/>
      <c r="GJ17" s="43"/>
      <c r="GS17" s="58" t="s">
        <v>38</v>
      </c>
      <c r="GT17" s="88" t="str">
        <f>IF(AND($B$8="Bass",$G$24 &lt;&gt;""), $G$24, IF($B$8="Bass", $E$24,""))</f>
        <v/>
      </c>
      <c r="GU17" s="88" t="str">
        <f>IF(AND($B$9="Bass",$G$24 &lt;&gt;""), $G$24, IF($B$9="Bass", $E$24,""))</f>
        <v/>
      </c>
      <c r="GV17" s="88" t="str">
        <f>IF(AND($B$10="Bass",$G$24 &lt;&gt;""), $G$24, IF($B$10="Bass", $E$24,""))</f>
        <v/>
      </c>
      <c r="GW17" s="88" t="str">
        <f>IF(AND($B$11="Bass",$G$24 &lt;&gt;""), $G$24, IF($B$11="Bass", $E$24,""))</f>
        <v/>
      </c>
      <c r="GX17" s="88" t="str">
        <f>IF(AND($B$12="Bass",$G$24 &lt;&gt;""), $G$24, IF($B$12="Bass", $E$24,""))</f>
        <v/>
      </c>
      <c r="GY17" s="88" t="str">
        <f>IF(AND($B$13="Bass",$G$24 &lt;&gt;""), $G$24, IF($B$13="Bass", $E$24,""))</f>
        <v/>
      </c>
      <c r="GZ17" s="88" t="str">
        <f>IF(AND($B$14="Bass",$G$24 &lt;&gt;""), $G$24, IF($B$14="Bass", $E$24,""))</f>
        <v/>
      </c>
      <c r="HA17" s="62" t="str">
        <f>IF(AND($B$15="Bass",$G$24 &lt;&gt;""), $G$24, IF($B$15="Bass", $E$24,""))</f>
        <v/>
      </c>
      <c r="HB17" s="62" t="str">
        <f>IF(AND($B$16="Bass",$G$24 &lt;&gt;""), $G$24, IF($B$16="Bass", $E$24,""))</f>
        <v/>
      </c>
      <c r="HC17" s="62" t="str">
        <f>IF(AND($B$17="Bass",$G$24 &lt;&gt;""), $G$24, IF($B$17="Bass", $E$24,""))</f>
        <v/>
      </c>
      <c r="HD17" s="62" t="str">
        <f>IF(AND($B$18="Bass",$G$24 &lt;&gt;""), $G$24, IF($B$18="Bass", $E$24,""))</f>
        <v/>
      </c>
      <c r="HE17" s="62" t="str">
        <f>IF(AND($B$19="Bass",$G$24 &lt;&gt;""), $G$24, IF($B$19="Bass", $E$24,""))</f>
        <v/>
      </c>
      <c r="HF17" s="62" t="str">
        <f>IF(AND($B$20="Bass",$G$24 &lt;&gt;""), $G$24, IF($B$20="Bass", $E$24,""))</f>
        <v/>
      </c>
    </row>
    <row r="18" spans="1:215" ht="15.6" x14ac:dyDescent="0.3">
      <c r="A18" s="138">
        <v>1</v>
      </c>
      <c r="B18" s="139"/>
      <c r="C18" s="139"/>
      <c r="D18" s="184"/>
      <c r="E18" s="139"/>
      <c r="F18" s="184"/>
      <c r="G18" s="140"/>
      <c r="H18" s="71" t="str">
        <f>IF(OR($C$2="",B18="",C18="", E18="", G18=""),"",CONCATENATE(INDEX($BR$1:$DB$81,MATCH(C18,CU:CU,0),MATCH(CONCATENATE($C$2," Codif"),$BR$1:$DB$1,0)), INDEX($DW$3:$DY$36, MATCH(G18,$DW$3:$DW$40,0),3), LEFT($C$3,2), INDEX($DR$3:$DT$23, MATCH(CONCATENATE(B18," ",E18),$DR$3:$DR$23,0),3), " Cstm"))</f>
        <v/>
      </c>
      <c r="I18" s="184"/>
      <c r="J18" s="184"/>
      <c r="L18" s="184"/>
      <c r="M18" s="185"/>
      <c r="P18" s="195">
        <f t="shared" si="15"/>
        <v>0</v>
      </c>
      <c r="Q18" s="195">
        <f t="shared" si="16"/>
        <v>0</v>
      </c>
      <c r="R18" s="195">
        <f t="shared" si="17"/>
        <v>0</v>
      </c>
      <c r="S18" s="189">
        <f>IF($B18=$S$7,SUM(#REF!),0)</f>
        <v>0</v>
      </c>
      <c r="T18" s="189">
        <f>IF($B18=$T$7,SUM(#REF!),0)</f>
        <v>0</v>
      </c>
      <c r="U18" s="189">
        <f>IF($B18=$U$7,SUM(#REF!),0)</f>
        <v>0</v>
      </c>
      <c r="V18" s="189">
        <f>IF($B18=$V$7, SUM(#REF!),0)</f>
        <v>0</v>
      </c>
      <c r="W18" s="189" t="e">
        <f t="shared" si="18"/>
        <v>#DIV/0!</v>
      </c>
      <c r="X18" s="44">
        <f t="shared" ca="1" si="19"/>
        <v>0</v>
      </c>
      <c r="Y18" s="13">
        <f ca="1">IF($X$5=18,0,1)</f>
        <v>1</v>
      </c>
      <c r="AA18" s="127" t="e">
        <f t="shared" si="20"/>
        <v>#N/A</v>
      </c>
      <c r="AE18" t="s">
        <v>456</v>
      </c>
      <c r="AG18" s="56" t="s">
        <v>426</v>
      </c>
      <c r="AH18" s="66" t="s">
        <v>113</v>
      </c>
      <c r="AI18" s="26" t="s">
        <v>114</v>
      </c>
      <c r="AJ18" s="104" t="s">
        <v>115</v>
      </c>
      <c r="AK18" s="105" t="s">
        <v>426</v>
      </c>
      <c r="AL18" s="6"/>
      <c r="AM18" s="6"/>
      <c r="AN18" s="6"/>
      <c r="AO18" s="6"/>
      <c r="AP18" s="6"/>
      <c r="AQ18" s="6"/>
      <c r="AR18" s="6"/>
      <c r="AT18" s="90" t="s">
        <v>428</v>
      </c>
      <c r="AU18" s="15">
        <f t="shared" si="11"/>
        <v>94</v>
      </c>
      <c r="AV18" s="15">
        <f t="shared" si="7"/>
        <v>94</v>
      </c>
      <c r="AW18" s="15">
        <f t="shared" si="7"/>
        <v>94</v>
      </c>
      <c r="AX18" s="15">
        <f t="shared" si="7"/>
        <v>0</v>
      </c>
      <c r="AY18" s="15">
        <f t="shared" si="7"/>
        <v>0</v>
      </c>
      <c r="AZ18" s="15">
        <f t="shared" si="7"/>
        <v>400</v>
      </c>
      <c r="BA18" s="15">
        <f t="shared" si="7"/>
        <v>0</v>
      </c>
      <c r="BB18" s="15">
        <f t="shared" si="7"/>
        <v>0</v>
      </c>
      <c r="BC18" s="15">
        <f t="shared" si="7"/>
        <v>0</v>
      </c>
      <c r="BD18" s="15">
        <f t="shared" si="7"/>
        <v>0</v>
      </c>
      <c r="BE18" s="15">
        <f t="shared" si="7"/>
        <v>0</v>
      </c>
      <c r="BF18" s="15">
        <f t="shared" si="7"/>
        <v>0</v>
      </c>
      <c r="BG18" s="6"/>
      <c r="BH18" s="56"/>
      <c r="BI18" s="1" t="s">
        <v>327</v>
      </c>
      <c r="BJ18" s="1" t="s">
        <v>457</v>
      </c>
      <c r="BK18" s="1" t="s">
        <v>442</v>
      </c>
      <c r="BL18" s="4" t="s">
        <v>458</v>
      </c>
      <c r="BM18" s="56" t="s">
        <v>459</v>
      </c>
      <c r="BP18" s="4" t="s">
        <v>460</v>
      </c>
      <c r="BQ18" s="4"/>
      <c r="BR18" s="6" t="str">
        <f t="shared" si="8"/>
        <v>Classic Maple 18x24 Bass Drum</v>
      </c>
      <c r="BS18" s="4" t="s">
        <v>460</v>
      </c>
      <c r="BT18" s="71"/>
      <c r="BV18" s="6" t="str">
        <f t="shared" si="47"/>
        <v>Legacy Maple 16x24 Bass Drum</v>
      </c>
      <c r="BW18" s="4" t="s">
        <v>434</v>
      </c>
      <c r="BX18" s="67"/>
      <c r="BZ18" s="6" t="str">
        <f t="shared" si="48"/>
        <v>Legacy Mahogany 16x24 Bass Drum</v>
      </c>
      <c r="CA18" s="4" t="s">
        <v>434</v>
      </c>
      <c r="CB18" s="67"/>
      <c r="CC18" s="9"/>
      <c r="CD18" s="6" t="str">
        <f t="shared" si="49"/>
        <v>Legacy Exotic 16x24 Bass Drum</v>
      </c>
      <c r="CE18" s="4" t="s">
        <v>434</v>
      </c>
      <c r="CF18" s="70"/>
      <c r="CG18" s="23" t="s">
        <v>461</v>
      </c>
      <c r="CH18" s="4" t="s">
        <v>460</v>
      </c>
      <c r="CI18" s="70"/>
      <c r="CJ18" s="4"/>
      <c r="CK18" s="90"/>
      <c r="CL18" s="157"/>
      <c r="CM18" s="157"/>
      <c r="CN18" s="157"/>
      <c r="CO18" s="157"/>
      <c r="CP18" s="157"/>
      <c r="CQ18" s="70"/>
      <c r="CS18" s="157"/>
      <c r="CT18" s="70"/>
      <c r="CU18" s="4">
        <f t="shared" si="50"/>
        <v>0</v>
      </c>
      <c r="CV18" s="93" t="s">
        <v>462</v>
      </c>
      <c r="CW18" s="93" t="s">
        <v>463</v>
      </c>
      <c r="CX18" s="93" t="s">
        <v>464</v>
      </c>
      <c r="CY18" s="93" t="s">
        <v>465</v>
      </c>
      <c r="CZ18" s="93" t="s">
        <v>466</v>
      </c>
      <c r="DA18" s="70"/>
      <c r="DB18" s="13" t="s">
        <v>52</v>
      </c>
      <c r="DC18" s="16" t="str">
        <f t="shared" si="2"/>
        <v>Bass.18x20 Bass Drum</v>
      </c>
      <c r="DD18" s="4" t="s">
        <v>311</v>
      </c>
      <c r="DE18" s="69" t="str">
        <f t="shared" si="3"/>
        <v>MLLCLL</v>
      </c>
      <c r="DF18" s="13" t="s">
        <v>78</v>
      </c>
      <c r="DG18" s="13" t="s">
        <v>79</v>
      </c>
      <c r="DH18" s="13" t="s">
        <v>69</v>
      </c>
      <c r="DI18" s="13"/>
      <c r="DK18" s="13"/>
      <c r="DL18" s="13"/>
      <c r="DM18" s="13"/>
      <c r="DN18" s="13">
        <f t="shared" si="4"/>
        <v>0</v>
      </c>
      <c r="DO18" s="25" t="s">
        <v>353</v>
      </c>
      <c r="DP18" s="13"/>
      <c r="DR18" t="s">
        <v>467</v>
      </c>
      <c r="DS18" s="66">
        <f t="shared" si="52"/>
        <v>0</v>
      </c>
      <c r="DT18" s="71"/>
      <c r="DU18" s="13"/>
      <c r="DW18" t="s">
        <v>468</v>
      </c>
      <c r="DX18" s="66">
        <f t="shared" si="53"/>
        <v>0</v>
      </c>
      <c r="DY18" s="71" t="s">
        <v>143</v>
      </c>
      <c r="DZ18" s="13">
        <v>9</v>
      </c>
      <c r="EA18" s="13"/>
      <c r="EB18" s="13"/>
      <c r="EC18" s="16"/>
      <c r="ED18" s="26"/>
      <c r="EE18" s="26"/>
      <c r="EF18" s="24"/>
      <c r="EG18" s="24"/>
      <c r="EH18" s="24"/>
      <c r="EI18" s="227"/>
      <c r="EJ18" s="227"/>
      <c r="EK18" s="24"/>
      <c r="EL18" s="24"/>
      <c r="EM18" s="24"/>
      <c r="EN18" s="24"/>
      <c r="EO18" s="24"/>
      <c r="EP18" s="24"/>
      <c r="EQ18" s="24"/>
      <c r="ES18" s="14" t="s">
        <v>469</v>
      </c>
      <c r="ET18" s="24">
        <v>0</v>
      </c>
      <c r="EU18" s="26"/>
      <c r="EW18" s="81">
        <f t="shared" si="21"/>
        <v>0</v>
      </c>
      <c r="EX18" s="27"/>
      <c r="EY18" s="18"/>
      <c r="EZ18">
        <v>11</v>
      </c>
      <c r="FA18" s="43">
        <f t="shared" si="44"/>
        <v>0</v>
      </c>
      <c r="FB18" s="13" t="str">
        <f t="shared" si="22"/>
        <v/>
      </c>
      <c r="FC18" s="13" t="str">
        <f t="shared" si="51"/>
        <v/>
      </c>
      <c r="FD18" s="13" t="str">
        <f t="shared" si="45"/>
        <v>Double</v>
      </c>
      <c r="FF18" s="99"/>
      <c r="FG18" s="7"/>
      <c r="FJ18" s="13">
        <f t="shared" si="24"/>
        <v>0</v>
      </c>
      <c r="FK18" s="40">
        <v>18</v>
      </c>
      <c r="FL18" s="13">
        <f t="shared" si="25"/>
        <v>1</v>
      </c>
      <c r="FM18">
        <f t="shared" si="26"/>
        <v>0</v>
      </c>
      <c r="FN18">
        <f t="shared" si="27"/>
        <v>0</v>
      </c>
      <c r="FO18" s="35">
        <f t="shared" si="28"/>
        <v>0</v>
      </c>
      <c r="FP18">
        <f t="shared" si="29"/>
        <v>0</v>
      </c>
      <c r="FQ18" s="35">
        <f t="shared" si="30"/>
        <v>0</v>
      </c>
      <c r="FR18" s="36">
        <f t="shared" si="31"/>
        <v>0</v>
      </c>
      <c r="FS18" s="98" t="str">
        <f t="shared" si="32"/>
        <v xml:space="preserve"> </v>
      </c>
      <c r="FU18" s="44">
        <f t="shared" ca="1" si="33"/>
        <v>0</v>
      </c>
      <c r="FV18" s="44" t="str">
        <f t="shared" ca="1" si="34"/>
        <v/>
      </c>
      <c r="FW18" s="44" t="str">
        <f t="shared" ca="1" si="35"/>
        <v/>
      </c>
      <c r="FX18" s="71" t="str">
        <f t="shared" si="36"/>
        <v/>
      </c>
      <c r="FY18" s="71" t="str">
        <f t="shared" si="37"/>
        <v/>
      </c>
      <c r="FZ18" s="71" t="str">
        <f t="shared" si="38"/>
        <v/>
      </c>
      <c r="GA18" s="71" t="str">
        <f t="shared" si="39"/>
        <v/>
      </c>
      <c r="GB18" s="71" t="str">
        <f t="shared" si="40"/>
        <v/>
      </c>
      <c r="GC18" s="119" t="str">
        <f t="shared" si="41"/>
        <v>TT_Double</v>
      </c>
      <c r="GD18" s="43" t="str">
        <f t="shared" si="42"/>
        <v>FT_Double</v>
      </c>
      <c r="GE18" s="120" t="str">
        <f t="shared" si="43"/>
        <v>BD_Double</v>
      </c>
      <c r="GF18" s="43"/>
      <c r="GG18" s="4" t="s">
        <v>470</v>
      </c>
      <c r="GH18" s="43">
        <f t="shared" si="46"/>
        <v>0</v>
      </c>
      <c r="GI18" s="43"/>
      <c r="GJ18" s="43"/>
      <c r="GS18" s="58" t="s">
        <v>91</v>
      </c>
      <c r="GT18" s="88" t="str">
        <f>IF(AND($B$8="Bass",$G$28 &lt;&gt; ""),"P1216D Classic Brkt","")</f>
        <v/>
      </c>
      <c r="GU18" s="88" t="str">
        <f>IF(AND($B$9="Bass",$G$28 &lt;&gt; ""),"P1216D Classic Brkt","")</f>
        <v/>
      </c>
      <c r="GV18" s="88" t="str">
        <f>IF(AND($B$10="Bass",$G$28 &lt;&gt; ""),"P1216D Classic Brkt","")</f>
        <v/>
      </c>
      <c r="GW18" s="88" t="str">
        <f>IF(AND($B$11="Bass",$G$28 &lt;&gt; ""),"P1216D Classic Brkt","")</f>
        <v/>
      </c>
      <c r="GX18" s="88" t="str">
        <f>IF(AND($B$12="Bass",$G$28 &lt;&gt; ""),"P1216D Classic Brkt","")</f>
        <v/>
      </c>
      <c r="GY18" s="88" t="str">
        <f>IF(AND($B$13="Bass",$G$28 &lt;&gt; ""),"P1216D Classic Brkt","")</f>
        <v/>
      </c>
      <c r="GZ18" s="88" t="str">
        <f>IF(AND($B$14="Bass",$G$28 &lt;&gt; ""),"P1216D Classic Brkt","")</f>
        <v/>
      </c>
      <c r="HA18" s="88" t="str">
        <f>IF(AND($B$15="Bass",$G$28 &lt;&gt; ""),"P1216D Classic Brkt","")</f>
        <v/>
      </c>
      <c r="HB18" s="88" t="str">
        <f>IF(AND($B$16="Bass",$G$28 &lt;&gt; ""),"P1216D Classic Brkt","")</f>
        <v/>
      </c>
      <c r="HC18" s="88" t="str">
        <f>IF(AND($B$17="Bass",$G$28 &lt;&gt; ""),"P1216D Classic Brkt","")</f>
        <v/>
      </c>
      <c r="HD18" s="88" t="str">
        <f>IF(AND($B$18="Bass",$G$28 &lt;&gt; ""),"P1216D Classic Brkt","")</f>
        <v/>
      </c>
      <c r="HE18" s="88" t="str">
        <f>IF(AND($B$19="Bass",$G$28 &lt;&gt; ""),"P1216D Classic Brkt","")</f>
        <v/>
      </c>
      <c r="HF18" s="88" t="str">
        <f>IF(AND($B$20="Bass",$G$28 &lt;&gt; ""),"P1216D Classic Brkt","")</f>
        <v/>
      </c>
    </row>
    <row r="19" spans="1:215" ht="15.6" x14ac:dyDescent="0.3">
      <c r="A19" s="138">
        <v>1</v>
      </c>
      <c r="B19" s="139"/>
      <c r="C19" s="139"/>
      <c r="D19" s="184"/>
      <c r="E19" s="139"/>
      <c r="F19" s="184"/>
      <c r="G19" s="140"/>
      <c r="H19" s="71" t="str">
        <f>IF(OR($C$2="",B19="",C19="", E19="", G19=""),"",CONCATENATE(INDEX($BR$1:$DB$81,MATCH(C19,CU:CU,0),MATCH(CONCATENATE($C$2," Codif"),$BR$1:$DB$1,0)), INDEX($DW$3:$DY$36, MATCH(G19,$DW$3:$DW$40,0),3), LEFT($C$3,2), INDEX($DR$3:$DT$23, MATCH(CONCATENATE(B19," ",E19),$DR$3:$DR$23,0),3), " Cstm"))</f>
        <v/>
      </c>
      <c r="I19" s="184"/>
      <c r="J19" s="184"/>
      <c r="L19" s="184"/>
      <c r="M19" s="185"/>
      <c r="P19" s="195">
        <f t="shared" si="15"/>
        <v>0</v>
      </c>
      <c r="Q19" s="195">
        <f t="shared" si="16"/>
        <v>0</v>
      </c>
      <c r="R19" s="195">
        <f t="shared" si="17"/>
        <v>0</v>
      </c>
      <c r="S19" s="189">
        <f>IF($B19=$S$7,SUM(#REF!),0)</f>
        <v>0</v>
      </c>
      <c r="T19" s="189">
        <f>IF($B19=$T$7,SUM(#REF!),0)</f>
        <v>0</v>
      </c>
      <c r="U19" s="189">
        <f>IF($B19=$U$7,SUM(#REF!),0)</f>
        <v>0</v>
      </c>
      <c r="V19" s="189">
        <f>IF($B19=$V$7, SUM(#REF!),0)</f>
        <v>0</v>
      </c>
      <c r="W19" s="189" t="e">
        <f t="shared" si="18"/>
        <v>#DIV/0!</v>
      </c>
      <c r="X19" s="44">
        <f t="shared" ca="1" si="19"/>
        <v>0</v>
      </c>
      <c r="Y19" s="13">
        <f ca="1">IF($X$5=19,0,1)</f>
        <v>1</v>
      </c>
      <c r="AA19" s="127" t="e">
        <f t="shared" si="20"/>
        <v>#N/A</v>
      </c>
      <c r="AE19" t="s">
        <v>471</v>
      </c>
      <c r="AG19" s="56" t="s">
        <v>472</v>
      </c>
      <c r="AH19" s="66" t="s">
        <v>113</v>
      </c>
      <c r="AI19" s="26" t="s">
        <v>114</v>
      </c>
      <c r="AJ19" s="104" t="s">
        <v>115</v>
      </c>
      <c r="AK19" s="105" t="s">
        <v>472</v>
      </c>
      <c r="AL19" s="6"/>
      <c r="AM19" s="27" t="s">
        <v>473</v>
      </c>
      <c r="AN19" s="44" t="e">
        <f>INDEX(AG:AH,MATCH(C3,AG:AG,0),2)</f>
        <v>#N/A</v>
      </c>
      <c r="AO19" s="6" t="s">
        <v>474</v>
      </c>
      <c r="AP19" s="6"/>
      <c r="AQ19" s="6"/>
      <c r="AR19" s="6"/>
      <c r="AT19" s="90" t="s">
        <v>444</v>
      </c>
      <c r="AU19" s="15">
        <f t="shared" si="11"/>
        <v>94</v>
      </c>
      <c r="AV19" s="15">
        <f t="shared" si="7"/>
        <v>94</v>
      </c>
      <c r="AW19" s="15">
        <f t="shared" si="7"/>
        <v>94</v>
      </c>
      <c r="AX19" s="15">
        <f t="shared" si="7"/>
        <v>0</v>
      </c>
      <c r="AY19" s="15">
        <f t="shared" si="7"/>
        <v>0</v>
      </c>
      <c r="AZ19" s="15">
        <f t="shared" si="7"/>
        <v>400</v>
      </c>
      <c r="BA19" s="15">
        <f t="shared" si="7"/>
        <v>0</v>
      </c>
      <c r="BB19" s="15">
        <f t="shared" si="7"/>
        <v>0</v>
      </c>
      <c r="BC19" s="15">
        <f t="shared" si="7"/>
        <v>0</v>
      </c>
      <c r="BD19" s="15">
        <f t="shared" si="7"/>
        <v>0</v>
      </c>
      <c r="BE19" s="15">
        <f t="shared" si="7"/>
        <v>0</v>
      </c>
      <c r="BF19" s="15">
        <f t="shared" si="7"/>
        <v>0</v>
      </c>
      <c r="BG19" s="6"/>
      <c r="BH19" s="56"/>
      <c r="BI19" s="1" t="s">
        <v>344</v>
      </c>
      <c r="BJ19" s="1" t="s">
        <v>475</v>
      </c>
      <c r="BK19" s="1" t="s">
        <v>475</v>
      </c>
      <c r="BL19" s="4" t="s">
        <v>477</v>
      </c>
      <c r="BM19" s="1" t="s">
        <v>457</v>
      </c>
      <c r="BP19" s="4" t="s">
        <v>478</v>
      </c>
      <c r="BQ19" s="4"/>
      <c r="BR19" s="6" t="str">
        <f t="shared" si="8"/>
        <v>Classic Maple 20x24 Bass Drum</v>
      </c>
      <c r="BS19" s="4" t="s">
        <v>478</v>
      </c>
      <c r="BT19" s="71"/>
      <c r="BV19" s="6" t="str">
        <f t="shared" si="47"/>
        <v>Legacy Maple 18x24 Bass Drum</v>
      </c>
      <c r="BW19" s="4" t="s">
        <v>460</v>
      </c>
      <c r="BX19" s="67"/>
      <c r="BZ19" s="6" t="str">
        <f t="shared" si="48"/>
        <v>Legacy Mahogany 18x24 Bass Drum</v>
      </c>
      <c r="CA19" s="4" t="s">
        <v>460</v>
      </c>
      <c r="CB19" s="67"/>
      <c r="CC19" s="9"/>
      <c r="CD19" s="6" t="str">
        <f t="shared" si="49"/>
        <v>Legacy Exotic 18x24 Bass Drum</v>
      </c>
      <c r="CE19" s="4" t="s">
        <v>460</v>
      </c>
      <c r="CF19" s="70"/>
      <c r="CG19" s="23" t="s">
        <v>479</v>
      </c>
      <c r="CH19" s="4" t="s">
        <v>478</v>
      </c>
      <c r="CI19" s="70"/>
      <c r="CJ19" s="4"/>
      <c r="CK19" s="90"/>
      <c r="CL19" s="157"/>
      <c r="CM19" s="157"/>
      <c r="CN19" s="157"/>
      <c r="CO19" s="157"/>
      <c r="CP19" s="157"/>
      <c r="CQ19" s="157"/>
      <c r="CS19" s="157"/>
      <c r="CT19" s="157"/>
      <c r="CU19" s="4">
        <f t="shared" si="50"/>
        <v>0</v>
      </c>
      <c r="CV19" s="93" t="s">
        <v>480</v>
      </c>
      <c r="CW19" s="93" t="s">
        <v>481</v>
      </c>
      <c r="CX19" s="93" t="s">
        <v>482</v>
      </c>
      <c r="CY19" s="93" t="s">
        <v>483</v>
      </c>
      <c r="CZ19" s="93" t="s">
        <v>484</v>
      </c>
      <c r="DA19" s="70"/>
      <c r="DB19" s="13" t="s">
        <v>52</v>
      </c>
      <c r="DC19" s="16" t="str">
        <f t="shared" si="2"/>
        <v>Bass.18x22 Bass Drum</v>
      </c>
      <c r="DD19" s="4" t="s">
        <v>381</v>
      </c>
      <c r="DE19" s="69" t="str">
        <f t="shared" si="3"/>
        <v>MLLCLL</v>
      </c>
      <c r="DF19" s="13" t="s">
        <v>78</v>
      </c>
      <c r="DG19" s="13" t="s">
        <v>79</v>
      </c>
      <c r="DH19" s="13" t="s">
        <v>69</v>
      </c>
      <c r="DI19" s="13"/>
      <c r="DK19" s="13"/>
      <c r="DL19" s="13"/>
      <c r="DM19" s="13"/>
      <c r="DN19" s="13">
        <f t="shared" si="4"/>
        <v>0</v>
      </c>
      <c r="DO19" s="25" t="s">
        <v>353</v>
      </c>
      <c r="DP19" s="13"/>
      <c r="DR19" t="s">
        <v>485</v>
      </c>
      <c r="DS19" s="66">
        <f t="shared" si="52"/>
        <v>0</v>
      </c>
      <c r="DT19" s="71"/>
      <c r="DW19" t="s">
        <v>486</v>
      </c>
      <c r="DX19" s="66">
        <f t="shared" si="53"/>
        <v>0</v>
      </c>
      <c r="DY19" s="71" t="s">
        <v>487</v>
      </c>
      <c r="DZ19" s="13">
        <v>12</v>
      </c>
      <c r="EA19" s="13"/>
      <c r="EB19" s="13"/>
      <c r="EC19" s="69" t="str">
        <f>IF(EB17=0,"Shell_Mount","No_Shell_Mount")</f>
        <v>Shell_Mount</v>
      </c>
      <c r="ED19" s="26"/>
      <c r="EE19" s="26"/>
      <c r="EF19" s="24"/>
      <c r="EG19" s="24"/>
      <c r="EH19" s="24"/>
      <c r="EI19" s="24"/>
      <c r="EJ19" s="24"/>
      <c r="EK19" s="24"/>
      <c r="EL19" s="24"/>
      <c r="EM19" s="24"/>
      <c r="EN19" s="24"/>
      <c r="EO19" s="24"/>
      <c r="EP19" s="24"/>
      <c r="EQ19" s="24"/>
      <c r="ES19" s="14" t="s">
        <v>488</v>
      </c>
      <c r="ET19" s="24">
        <v>50</v>
      </c>
      <c r="EU19" s="26"/>
      <c r="EW19" s="81">
        <f t="shared" si="21"/>
        <v>0</v>
      </c>
      <c r="EX19" s="27"/>
      <c r="EY19" s="18"/>
      <c r="EZ19">
        <v>12</v>
      </c>
      <c r="FA19" s="43">
        <f t="shared" si="44"/>
        <v>0</v>
      </c>
      <c r="FB19" s="13" t="str">
        <f t="shared" si="22"/>
        <v/>
      </c>
      <c r="FC19" s="13" t="str">
        <f t="shared" si="51"/>
        <v/>
      </c>
      <c r="FD19" s="13" t="str">
        <f t="shared" si="45"/>
        <v>Double</v>
      </c>
      <c r="FJ19" s="13">
        <f t="shared" si="24"/>
        <v>0</v>
      </c>
      <c r="FK19" s="40">
        <v>19</v>
      </c>
      <c r="FL19" s="13">
        <f t="shared" si="25"/>
        <v>1</v>
      </c>
      <c r="FM19">
        <f t="shared" si="26"/>
        <v>0</v>
      </c>
      <c r="FN19">
        <f t="shared" si="27"/>
        <v>0</v>
      </c>
      <c r="FO19" s="35">
        <f t="shared" si="28"/>
        <v>0</v>
      </c>
      <c r="FP19">
        <f t="shared" si="29"/>
        <v>0</v>
      </c>
      <c r="FQ19" s="35">
        <f t="shared" si="30"/>
        <v>0</v>
      </c>
      <c r="FR19" s="36">
        <f t="shared" si="31"/>
        <v>0</v>
      </c>
      <c r="FS19" s="98" t="str">
        <f t="shared" si="32"/>
        <v xml:space="preserve"> </v>
      </c>
      <c r="FU19" s="44">
        <f t="shared" ca="1" si="33"/>
        <v>0</v>
      </c>
      <c r="FV19" s="44" t="str">
        <f t="shared" ca="1" si="34"/>
        <v/>
      </c>
      <c r="FW19" s="44" t="str">
        <f t="shared" ca="1" si="35"/>
        <v/>
      </c>
      <c r="FX19" s="71" t="str">
        <f t="shared" si="36"/>
        <v/>
      </c>
      <c r="FY19" s="71" t="str">
        <f t="shared" si="37"/>
        <v/>
      </c>
      <c r="FZ19" s="71" t="str">
        <f t="shared" si="38"/>
        <v/>
      </c>
      <c r="GA19" s="71" t="str">
        <f t="shared" si="39"/>
        <v/>
      </c>
      <c r="GB19" s="71" t="str">
        <f t="shared" si="40"/>
        <v/>
      </c>
      <c r="GC19" s="119" t="str">
        <f t="shared" si="41"/>
        <v>TT_Double</v>
      </c>
      <c r="GD19" s="43" t="str">
        <f t="shared" si="42"/>
        <v>FT_Double</v>
      </c>
      <c r="GE19" s="120" t="str">
        <f t="shared" si="43"/>
        <v>BD_Double</v>
      </c>
      <c r="GF19" s="43"/>
      <c r="GG19" s="11" t="s">
        <v>489</v>
      </c>
      <c r="GH19" s="15">
        <f>SUM(GH9:GH18)</f>
        <v>0</v>
      </c>
      <c r="GI19" s="43"/>
      <c r="GJ19" s="43"/>
      <c r="GS19" s="58" t="s">
        <v>490</v>
      </c>
      <c r="GT19" s="89" t="str">
        <f>IF(AND($B$8="Bass",$G$28 &lt;&gt;""), $G$28, IF($B$8="Bass", $E$28,""))</f>
        <v/>
      </c>
      <c r="GU19" s="89" t="str">
        <f>IF(AND($B$9="Bass",$G$28 &lt;&gt;""), $G$28, IF($B$9="Bass", $E$28,""))</f>
        <v/>
      </c>
      <c r="GV19" s="89" t="str">
        <f>IF(AND($B$10="Bass",$G$28 &lt;&gt;""), $G$28, IF($B$10="Bass", $E$28,""))</f>
        <v/>
      </c>
      <c r="GW19" s="89" t="str">
        <f>IF(AND($B$11="Bass",$G$28 &lt;&gt;""), $G$28, IF($B$11="Bass", $E$28,""))</f>
        <v/>
      </c>
      <c r="GX19" s="89" t="str">
        <f>IF(AND($B$12="Bass",$G$28 &lt;&gt;""), $G$28, IF($B$12="Bass", $E$28,""))</f>
        <v/>
      </c>
      <c r="GY19" s="89" t="str">
        <f>IF(AND($B$13="Bass",$G$28 &lt;&gt;""), $G$28, IF($B$13="Bass", $E$28,""))</f>
        <v/>
      </c>
      <c r="GZ19" s="89" t="str">
        <f>IF(AND($B$14="Bass",$G$28 &lt;&gt;""), $G$28, IF($B$14="Bass", $E$28,""))</f>
        <v/>
      </c>
      <c r="HA19" s="64" t="str">
        <f>IF(AND($B$15="Bass",$G$28 &lt;&gt;""), $G$28, IF($B$15="Bass", $E$28,""))</f>
        <v/>
      </c>
      <c r="HB19" s="64" t="str">
        <f>IF(AND($B$16="Bass",$G$28 &lt;&gt;""), $G$28, IF($B$16="Bass", $E$28,""))</f>
        <v/>
      </c>
      <c r="HC19" s="64" t="str">
        <f>IF(AND($B$17="Bass",$G$28 &lt;&gt;""), $G$28, IF($B$17="Bass", $E$28,""))</f>
        <v/>
      </c>
      <c r="HD19" s="64" t="str">
        <f>IF(AND($B$18="Bass",$G$28 &lt;&gt;""), $G$28, IF($B$18="Bass", $E$28,""))</f>
        <v/>
      </c>
      <c r="HE19" s="64" t="str">
        <f>IF(AND($B$19="Bass",$G$28 &lt;&gt;""), $G$28, IF($B$19="Bass", $E$28,""))</f>
        <v/>
      </c>
      <c r="HF19" s="64" t="str">
        <f>IF(AND($B$20="Bass",$G$28 &lt;&gt;""), $G$28, IF($B$20="Bass", $E$28,""))</f>
        <v/>
      </c>
    </row>
    <row r="20" spans="1:215" ht="15.6" x14ac:dyDescent="0.3">
      <c r="A20" s="138">
        <v>1</v>
      </c>
      <c r="B20" s="139"/>
      <c r="C20" s="139"/>
      <c r="D20" s="184"/>
      <c r="E20" s="139"/>
      <c r="F20" s="184"/>
      <c r="G20" s="140"/>
      <c r="H20" s="71" t="str">
        <f>IF(OR($C$2="",B20="",C20="", E20="", G20=""),"",CONCATENATE(INDEX($BR$1:$DB$81,MATCH(C20,CU:CU,0),MATCH(CONCATENATE($C$2," Codif"),$BR$1:$DB$1,0)), INDEX($DW$3:$DY$36, MATCH(G20,$DW$3:$DW$40,0),3), LEFT($C$3,2), INDEX($DR$3:$DT$23, MATCH(CONCATENATE(B20," ",E20),$DR$3:$DR$23,0),3), " Cstm"))</f>
        <v/>
      </c>
      <c r="I20" s="184"/>
      <c r="J20" s="184"/>
      <c r="L20" s="184"/>
      <c r="M20" s="185"/>
      <c r="P20" s="195">
        <f t="shared" si="15"/>
        <v>0</v>
      </c>
      <c r="Q20" s="195">
        <f t="shared" si="16"/>
        <v>0</v>
      </c>
      <c r="R20" s="195">
        <f t="shared" si="17"/>
        <v>0</v>
      </c>
      <c r="S20" s="189">
        <f>IF($B20=$S$7,SUM(#REF!),0)</f>
        <v>0</v>
      </c>
      <c r="T20" s="189">
        <f>IF($B20=$T$7,SUM(#REF!),0)</f>
        <v>0</v>
      </c>
      <c r="U20" s="189">
        <f>IF($B20=$U$7,SUM(#REF!),0)</f>
        <v>0</v>
      </c>
      <c r="V20" s="189">
        <f>IF($B20=$V$7, SUM(#REF!),0)</f>
        <v>0</v>
      </c>
      <c r="W20" s="189" t="e">
        <f t="shared" si="18"/>
        <v>#DIV/0!</v>
      </c>
      <c r="X20" s="44">
        <f t="shared" ca="1" si="19"/>
        <v>0</v>
      </c>
      <c r="Y20" s="13">
        <f ca="1">IF($X$5=20,0,1)</f>
        <v>1</v>
      </c>
      <c r="AA20" s="127" t="e">
        <f t="shared" si="20"/>
        <v>#N/A</v>
      </c>
      <c r="AE20" t="s">
        <v>491</v>
      </c>
      <c r="AG20" s="56" t="s">
        <v>442</v>
      </c>
      <c r="AH20" s="66" t="s">
        <v>113</v>
      </c>
      <c r="AI20" s="26" t="s">
        <v>114</v>
      </c>
      <c r="AJ20" s="104" t="s">
        <v>115</v>
      </c>
      <c r="AK20" s="105" t="s">
        <v>442</v>
      </c>
      <c r="AL20" s="6"/>
      <c r="AM20" s="6"/>
      <c r="AN20" s="6"/>
      <c r="AO20" s="6"/>
      <c r="AP20" s="6"/>
      <c r="AQ20" s="6"/>
      <c r="AR20" s="6"/>
      <c r="AT20" s="90" t="s">
        <v>461</v>
      </c>
      <c r="AU20" s="15">
        <f t="shared" si="11"/>
        <v>94</v>
      </c>
      <c r="AV20" s="15">
        <f t="shared" si="11"/>
        <v>94</v>
      </c>
      <c r="AW20" s="15">
        <f t="shared" si="11"/>
        <v>94</v>
      </c>
      <c r="AX20" s="15">
        <f t="shared" si="11"/>
        <v>0</v>
      </c>
      <c r="AY20" s="15">
        <f t="shared" si="11"/>
        <v>0</v>
      </c>
      <c r="AZ20" s="15">
        <f t="shared" si="11"/>
        <v>400</v>
      </c>
      <c r="BA20" s="15">
        <f t="shared" si="11"/>
        <v>0</v>
      </c>
      <c r="BB20" s="15">
        <f t="shared" si="11"/>
        <v>0</v>
      </c>
      <c r="BC20" s="15">
        <f t="shared" si="11"/>
        <v>0</v>
      </c>
      <c r="BD20" s="15">
        <f t="shared" si="11"/>
        <v>0</v>
      </c>
      <c r="BE20" s="15">
        <f t="shared" si="11"/>
        <v>0</v>
      </c>
      <c r="BF20" s="15">
        <f t="shared" si="11"/>
        <v>0</v>
      </c>
      <c r="BG20" s="6"/>
      <c r="BH20" s="56"/>
      <c r="BI20" s="1" t="s">
        <v>291</v>
      </c>
      <c r="BJ20" s="1" t="s">
        <v>492</v>
      </c>
      <c r="BK20" s="1" t="s">
        <v>492</v>
      </c>
      <c r="BL20" s="4" t="s">
        <v>493</v>
      </c>
      <c r="BM20" s="1" t="s">
        <v>475</v>
      </c>
      <c r="BP20" s="4" t="s">
        <v>259</v>
      </c>
      <c r="BQ20" s="4"/>
      <c r="BR20" s="6" t="str">
        <f t="shared" si="8"/>
        <v>Classic Maple 12x26 Bass Drum</v>
      </c>
      <c r="BS20" s="4" t="s">
        <v>259</v>
      </c>
      <c r="BT20" s="71"/>
      <c r="BV20" s="6" t="str">
        <f t="shared" si="47"/>
        <v>Legacy Maple 20x24 Bass Drum</v>
      </c>
      <c r="BW20" s="4" t="s">
        <v>478</v>
      </c>
      <c r="BX20" s="67"/>
      <c r="BZ20" s="6" t="str">
        <f t="shared" si="48"/>
        <v>Legacy Mahogany 20x24 Bass Drum</v>
      </c>
      <c r="CA20" s="4" t="s">
        <v>478</v>
      </c>
      <c r="CB20" s="67"/>
      <c r="CC20" s="9"/>
      <c r="CD20" s="6" t="str">
        <f t="shared" si="49"/>
        <v>Legacy Exotic 20x24 Bass Drum</v>
      </c>
      <c r="CE20" s="4" t="s">
        <v>478</v>
      </c>
      <c r="CF20" s="70"/>
      <c r="CG20" s="23" t="s">
        <v>494</v>
      </c>
      <c r="CH20" s="4" t="s">
        <v>259</v>
      </c>
      <c r="CI20" s="70"/>
      <c r="CJ20" s="4"/>
      <c r="CK20" s="90"/>
      <c r="CL20" s="157"/>
      <c r="CM20" s="157"/>
      <c r="CN20" s="157"/>
      <c r="CO20" s="157"/>
      <c r="CP20" s="157"/>
      <c r="CQ20" s="157"/>
      <c r="CS20" s="157"/>
      <c r="CT20" s="70"/>
      <c r="CU20" s="4">
        <f t="shared" si="50"/>
        <v>0</v>
      </c>
      <c r="CV20" s="93" t="s">
        <v>495</v>
      </c>
      <c r="CW20" s="93" t="s">
        <v>496</v>
      </c>
      <c r="CX20" s="93" t="s">
        <v>497</v>
      </c>
      <c r="CY20" s="93" t="s">
        <v>498</v>
      </c>
      <c r="CZ20" s="93" t="s">
        <v>499</v>
      </c>
      <c r="DA20" s="70"/>
      <c r="DB20" s="13" t="s">
        <v>52</v>
      </c>
      <c r="DC20" s="16" t="str">
        <f t="shared" si="2"/>
        <v>Bass.18x24 Bass Drum</v>
      </c>
      <c r="DD20" s="4" t="s">
        <v>460</v>
      </c>
      <c r="DE20" s="69" t="str">
        <f t="shared" si="3"/>
        <v>MLLCLL</v>
      </c>
      <c r="DF20" s="13" t="s">
        <v>78</v>
      </c>
      <c r="DG20" s="13" t="s">
        <v>79</v>
      </c>
      <c r="DH20" s="13" t="s">
        <v>69</v>
      </c>
      <c r="DI20" s="13"/>
      <c r="DK20" s="13"/>
      <c r="DL20" s="13"/>
      <c r="DM20" s="13"/>
      <c r="DN20" s="13">
        <f t="shared" si="4"/>
        <v>0</v>
      </c>
      <c r="DO20" s="25" t="s">
        <v>353</v>
      </c>
      <c r="DP20" s="13"/>
      <c r="DR20" t="s">
        <v>500</v>
      </c>
      <c r="DS20" s="66">
        <f t="shared" si="52"/>
        <v>0</v>
      </c>
      <c r="DT20" s="71"/>
      <c r="DW20" t="s">
        <v>501</v>
      </c>
      <c r="DX20" s="66">
        <f t="shared" si="53"/>
        <v>0</v>
      </c>
      <c r="DY20" s="71" t="s">
        <v>502</v>
      </c>
      <c r="DZ20" s="13">
        <v>12</v>
      </c>
      <c r="EA20" s="13"/>
      <c r="EB20" s="13"/>
      <c r="EC20" s="16"/>
      <c r="ED20" s="26"/>
      <c r="EE20" s="26"/>
      <c r="EF20" s="24"/>
      <c r="EH20" s="24"/>
      <c r="EI20" s="24"/>
      <c r="EJ20" s="24"/>
      <c r="EK20" s="24"/>
      <c r="EL20" s="24"/>
      <c r="EM20" s="24"/>
      <c r="EN20" s="24"/>
      <c r="EO20" s="24"/>
      <c r="EP20" s="24"/>
      <c r="EQ20" s="24"/>
      <c r="ES20" s="14" t="s">
        <v>503</v>
      </c>
      <c r="ET20" s="24">
        <v>50</v>
      </c>
      <c r="EU20" s="26"/>
      <c r="EW20" s="81">
        <f t="shared" si="21"/>
        <v>0</v>
      </c>
      <c r="EX20" s="27"/>
      <c r="EY20" s="18"/>
      <c r="EZ20">
        <v>13</v>
      </c>
      <c r="FA20" s="43">
        <f t="shared" si="44"/>
        <v>0</v>
      </c>
      <c r="FB20" s="13" t="str">
        <f t="shared" si="22"/>
        <v/>
      </c>
      <c r="FC20" s="13" t="str">
        <f t="shared" si="51"/>
        <v/>
      </c>
      <c r="FD20" s="13" t="str">
        <f t="shared" si="45"/>
        <v>Double</v>
      </c>
      <c r="FJ20" s="13">
        <f t="shared" si="24"/>
        <v>0</v>
      </c>
      <c r="FK20" s="40">
        <v>20</v>
      </c>
      <c r="FL20" s="13">
        <f t="shared" si="25"/>
        <v>1</v>
      </c>
      <c r="FM20" s="37">
        <f t="shared" si="26"/>
        <v>0</v>
      </c>
      <c r="FN20" s="37">
        <f t="shared" si="27"/>
        <v>0</v>
      </c>
      <c r="FO20" s="38">
        <f t="shared" si="28"/>
        <v>0</v>
      </c>
      <c r="FP20" s="37">
        <f t="shared" si="29"/>
        <v>0</v>
      </c>
      <c r="FQ20" s="38">
        <f t="shared" si="30"/>
        <v>0</v>
      </c>
      <c r="FR20" s="39">
        <f t="shared" si="31"/>
        <v>0</v>
      </c>
      <c r="FS20" s="98" t="str">
        <f t="shared" si="32"/>
        <v xml:space="preserve"> </v>
      </c>
      <c r="FU20" s="44">
        <f t="shared" ca="1" si="33"/>
        <v>0</v>
      </c>
      <c r="FV20" s="44" t="str">
        <f t="shared" ca="1" si="34"/>
        <v/>
      </c>
      <c r="FW20" s="44" t="str">
        <f t="shared" ca="1" si="35"/>
        <v/>
      </c>
      <c r="FX20" s="71" t="str">
        <f t="shared" si="36"/>
        <v/>
      </c>
      <c r="FY20" s="71" t="str">
        <f t="shared" si="37"/>
        <v/>
      </c>
      <c r="FZ20" s="71" t="str">
        <f t="shared" si="38"/>
        <v/>
      </c>
      <c r="GA20" s="71" t="str">
        <f t="shared" si="39"/>
        <v/>
      </c>
      <c r="GB20" s="71" t="str">
        <f t="shared" si="40"/>
        <v/>
      </c>
      <c r="GC20" s="119" t="str">
        <f t="shared" si="41"/>
        <v>TT_Double</v>
      </c>
      <c r="GD20" s="43" t="str">
        <f t="shared" si="42"/>
        <v>FT_Double</v>
      </c>
      <c r="GE20" s="120" t="str">
        <f t="shared" si="43"/>
        <v>BD_Double</v>
      </c>
      <c r="GF20" s="43"/>
      <c r="GG20" s="43"/>
      <c r="GH20" s="43"/>
      <c r="GI20" s="43"/>
      <c r="GJ20" s="43"/>
      <c r="GS20" s="58" t="s">
        <v>504</v>
      </c>
      <c r="GT20" s="88" t="str">
        <f>IF(AND($B$8="Bass",$G$27 &lt;&gt;""), $G$27, IF($B$8="Bass", $E$27,""))</f>
        <v/>
      </c>
      <c r="GU20" s="88" t="str">
        <f>IF(AND($B$9="Bass",$G$27 &lt;&gt;""), $G$27, IF($B$9="Bass", $E$27,""))</f>
        <v/>
      </c>
      <c r="GV20" s="88" t="str">
        <f>IF(AND($B$10="Bass",$G$27 &lt;&gt;""), $G$27, IF($B$10="Bass", $E$27,""))</f>
        <v/>
      </c>
      <c r="GW20" s="88" t="str">
        <f>IF(AND($B$11="Bass",$G$27 &lt;&gt;""), $G$27, IF($B$11="Bass", $E$27,""))</f>
        <v/>
      </c>
      <c r="GX20" s="88" t="str">
        <f>IF(AND($B$12="Bass",$G$27 &lt;&gt;""), $G$27, IF($B$12="Bass", $E$27,""))</f>
        <v/>
      </c>
      <c r="GY20" s="88" t="str">
        <f>IF(AND($B$13="Bass",$G$27 &lt;&gt;""), $G$27, IF($B$13="Bass", $E$27,""))</f>
        <v/>
      </c>
      <c r="GZ20" s="88" t="str">
        <f>IF(AND($B$14="Bass",$G$27 &lt;&gt;""), $G$27, IF($B$14="Bass", $E$27,""))</f>
        <v/>
      </c>
      <c r="HA20" s="62" t="str">
        <f>IF(AND($B$15="Bass",$G$27 &lt;&gt;""), $G$27, IF($B$15="Bass", $E$27,""))</f>
        <v/>
      </c>
      <c r="HB20" s="62" t="str">
        <f>IF(AND($B$16="Bass",$G$27 &lt;&gt;""), $G$27, IF($B$16="Bass", $E$27,""))</f>
        <v/>
      </c>
      <c r="HC20" s="62" t="str">
        <f>IF(AND($B$17="Bass",$G$27 &lt;&gt;""), $G$27, IF($B$17="Bass", $E$27,""))</f>
        <v/>
      </c>
      <c r="HD20" s="62" t="str">
        <f>IF(AND($B$18="Bass",$G$27 &lt;&gt;""), $G$27, IF($B$18="Bass", $E$27,""))</f>
        <v/>
      </c>
      <c r="HE20" s="62" t="str">
        <f>IF(AND($B$19="Bass",$G$27 &lt;&gt;""), $G$27, IF($B$19="Bass", $E$27,""))</f>
        <v/>
      </c>
      <c r="HF20" s="62" t="str">
        <f>IF(AND($B$20="Bass",$G$27 &lt;&gt;""), $G$27, IF($B$20="Bass", $E$27,""))</f>
        <v/>
      </c>
    </row>
    <row r="21" spans="1:215" ht="24" customHeight="1" thickBot="1" x14ac:dyDescent="0.45">
      <c r="B21" s="136" t="s">
        <v>505</v>
      </c>
      <c r="D21" s="52"/>
      <c r="E21" s="142" t="s">
        <v>506</v>
      </c>
      <c r="G21" s="143" t="s">
        <v>507</v>
      </c>
      <c r="H21" s="10"/>
      <c r="I21" s="52"/>
      <c r="J21" s="52"/>
      <c r="N21" s="16"/>
      <c r="R21" s="29"/>
      <c r="S21" s="16"/>
      <c r="T21" s="16"/>
      <c r="U21" s="16"/>
      <c r="V21" s="16"/>
      <c r="W21" s="16"/>
      <c r="X21" s="16"/>
      <c r="AE21" t="s">
        <v>508</v>
      </c>
      <c r="AG21" s="56" t="s">
        <v>457</v>
      </c>
      <c r="AH21" s="66" t="s">
        <v>113</v>
      </c>
      <c r="AI21" s="26" t="s">
        <v>114</v>
      </c>
      <c r="AJ21" s="104" t="s">
        <v>115</v>
      </c>
      <c r="AK21" s="105" t="s">
        <v>457</v>
      </c>
      <c r="AL21" s="6"/>
      <c r="AM21" s="102" t="s">
        <v>509</v>
      </c>
      <c r="AN21" s="6"/>
      <c r="AO21" s="6"/>
      <c r="AP21" s="6"/>
      <c r="AQ21" s="6"/>
      <c r="AR21" s="6"/>
      <c r="AT21" s="90" t="s">
        <v>479</v>
      </c>
      <c r="AU21" s="15">
        <f t="shared" ref="AU21:BF36" si="54">IFERROR(INDEX($AT$81:$BA$972,MATCH(CONCATENATE($AT21,".",AU$3),$AT$81:$AT$972,0),6),9999)</f>
        <v>94</v>
      </c>
      <c r="AV21" s="15">
        <f t="shared" si="54"/>
        <v>94</v>
      </c>
      <c r="AW21" s="15">
        <f t="shared" si="54"/>
        <v>94</v>
      </c>
      <c r="AX21" s="15">
        <f t="shared" si="54"/>
        <v>0</v>
      </c>
      <c r="AY21" s="15">
        <f t="shared" si="54"/>
        <v>0</v>
      </c>
      <c r="AZ21" s="15">
        <f t="shared" si="54"/>
        <v>400</v>
      </c>
      <c r="BA21" s="15">
        <f t="shared" si="54"/>
        <v>0</v>
      </c>
      <c r="BB21" s="15">
        <f t="shared" si="54"/>
        <v>0</v>
      </c>
      <c r="BC21" s="15">
        <f t="shared" si="54"/>
        <v>0</v>
      </c>
      <c r="BD21" s="15">
        <f t="shared" si="54"/>
        <v>0</v>
      </c>
      <c r="BE21" s="15">
        <f t="shared" si="54"/>
        <v>0</v>
      </c>
      <c r="BF21" s="15">
        <f t="shared" si="54"/>
        <v>0</v>
      </c>
      <c r="BG21" s="6"/>
      <c r="BH21" s="56"/>
      <c r="BI21" s="1" t="s">
        <v>362</v>
      </c>
      <c r="BJ21" s="1" t="s">
        <v>510</v>
      </c>
      <c r="BK21" s="1" t="s">
        <v>510</v>
      </c>
      <c r="BL21" s="4" t="s">
        <v>511</v>
      </c>
      <c r="BM21" s="1" t="s">
        <v>492</v>
      </c>
      <c r="BP21" s="4" t="s">
        <v>371</v>
      </c>
      <c r="BQ21" s="4"/>
      <c r="BR21" s="6" t="str">
        <f t="shared" si="8"/>
        <v>Classic Maple 14x26 Bass Drum</v>
      </c>
      <c r="BS21" s="4" t="s">
        <v>371</v>
      </c>
      <c r="BT21" s="71"/>
      <c r="BV21" s="6" t="str">
        <f t="shared" si="47"/>
        <v>Legacy Maple 12x26 Bass Drum</v>
      </c>
      <c r="BW21" s="4" t="s">
        <v>259</v>
      </c>
      <c r="BX21" s="67"/>
      <c r="BZ21" s="6" t="str">
        <f t="shared" si="48"/>
        <v>Legacy Mahogany 12x26 Bass Drum</v>
      </c>
      <c r="CA21" s="4" t="s">
        <v>259</v>
      </c>
      <c r="CB21" s="67"/>
      <c r="CC21" s="9"/>
      <c r="CD21" s="6" t="str">
        <f t="shared" si="49"/>
        <v>Legacy Exotic 12x26 Bass Drum</v>
      </c>
      <c r="CE21" s="4" t="s">
        <v>259</v>
      </c>
      <c r="CF21" s="70"/>
      <c r="CG21" s="23" t="s">
        <v>512</v>
      </c>
      <c r="CH21" s="4" t="s">
        <v>371</v>
      </c>
      <c r="CI21" s="70"/>
      <c r="CJ21" s="4"/>
      <c r="CK21" s="90"/>
      <c r="CL21" s="157"/>
      <c r="CM21" s="157"/>
      <c r="CN21" s="157"/>
      <c r="CO21" s="157"/>
      <c r="CP21" s="157"/>
      <c r="CQ21" s="157"/>
      <c r="CS21" s="157"/>
      <c r="CT21" s="70"/>
      <c r="CU21" s="4">
        <f t="shared" si="50"/>
        <v>0</v>
      </c>
      <c r="CV21" s="93" t="s">
        <v>513</v>
      </c>
      <c r="CW21" s="93" t="s">
        <v>514</v>
      </c>
      <c r="CX21" s="93" t="s">
        <v>515</v>
      </c>
      <c r="CY21" s="93" t="s">
        <v>516</v>
      </c>
      <c r="CZ21" s="93" t="s">
        <v>517</v>
      </c>
      <c r="DA21" s="70"/>
      <c r="DB21" s="13" t="s">
        <v>52</v>
      </c>
      <c r="DC21" s="16" t="str">
        <f t="shared" si="2"/>
        <v>Bass.20x20 Bass Drum</v>
      </c>
      <c r="DD21" s="4" t="s">
        <v>329</v>
      </c>
      <c r="DE21" s="69" t="str">
        <f t="shared" si="3"/>
        <v>MLLC</v>
      </c>
      <c r="DF21" s="13" t="s">
        <v>78</v>
      </c>
      <c r="DG21" s="13" t="s">
        <v>79</v>
      </c>
      <c r="DH21" s="13"/>
      <c r="DI21" s="13"/>
      <c r="DK21" s="13"/>
      <c r="DL21" s="13"/>
      <c r="DM21" s="13"/>
      <c r="DN21" s="13">
        <f>IF(ISERROR(MATCH(DD22,$C$8:$C$20,0)=FALSE),0,1)</f>
        <v>0</v>
      </c>
      <c r="DO21" s="25" t="s">
        <v>353</v>
      </c>
      <c r="DP21" s="13"/>
      <c r="DR21" t="s">
        <v>518</v>
      </c>
      <c r="DS21" s="66">
        <f t="shared" si="52"/>
        <v>0</v>
      </c>
      <c r="DW21" s="17" t="s">
        <v>519</v>
      </c>
      <c r="DX21" s="66">
        <f t="shared" si="53"/>
        <v>0</v>
      </c>
      <c r="DY21" s="71" t="s">
        <v>143</v>
      </c>
      <c r="DZ21" s="13">
        <v>12</v>
      </c>
      <c r="EA21" s="13"/>
      <c r="EB21" s="13"/>
      <c r="EC21" s="16"/>
      <c r="ED21" s="26"/>
      <c r="EE21" s="26"/>
      <c r="EF21" s="24"/>
      <c r="EH21" s="24"/>
      <c r="EI21" s="75" t="s">
        <v>520</v>
      </c>
      <c r="EJ21" s="24"/>
      <c r="EK21" s="24"/>
      <c r="EL21" s="24"/>
      <c r="EM21" s="24"/>
      <c r="EN21" s="24"/>
      <c r="EO21" s="24"/>
      <c r="EP21" s="24"/>
      <c r="EQ21" s="24"/>
      <c r="ER21" s="24"/>
      <c r="ES21" s="24"/>
      <c r="EU21" s="26"/>
      <c r="EW21" s="183">
        <f>SUM(EW8:EW20)</f>
        <v>0</v>
      </c>
      <c r="EX21" s="6" t="s">
        <v>521</v>
      </c>
      <c r="EY21" s="18"/>
      <c r="FA21" s="69"/>
      <c r="FB21" s="13"/>
      <c r="FD21" s="13"/>
      <c r="FJ21" s="13"/>
      <c r="FK21" s="62">
        <v>21</v>
      </c>
      <c r="FL21" s="13"/>
      <c r="FO21" s="35">
        <f t="shared" si="28"/>
        <v>0</v>
      </c>
      <c r="FP21" s="191" t="str">
        <f t="shared" ref="FP21:FP29" si="55">E21</f>
        <v>Standard Options:</v>
      </c>
      <c r="FU21" s="16"/>
      <c r="GC21" s="50" t="s">
        <v>522</v>
      </c>
      <c r="GE21" s="120"/>
      <c r="GF21" s="43"/>
      <c r="GG21" s="43" t="s">
        <v>523</v>
      </c>
      <c r="GH21" s="43" t="str">
        <f>IF(AND(GH7&gt;0,GH19=0),"Yes","No")</f>
        <v>No</v>
      </c>
      <c r="GI21" s="43"/>
      <c r="GJ21" s="43"/>
      <c r="GS21" s="58" t="s">
        <v>524</v>
      </c>
      <c r="GT21" s="88" t="str">
        <f>IF(AND($B$8="Floor",$G$8&lt;&gt;""),$G$8,"")</f>
        <v/>
      </c>
      <c r="GU21" s="88" t="str">
        <f>IF(AND($B$9="Floor",$G$9&lt;&gt;""),$G$9,"")</f>
        <v/>
      </c>
      <c r="GV21" s="88" t="str">
        <f>IF(AND($B$10="Floor",$G$10&lt;&gt;""),$G$10,"")</f>
        <v/>
      </c>
      <c r="GW21" s="88" t="str">
        <f>IF(AND($B$11="Floor",$G$11&lt;&gt;""),$G$11,"")</f>
        <v/>
      </c>
      <c r="GX21" s="88" t="str">
        <f>IF(AND($B$12="Floor",$G$12&lt;&gt;""),$G$12,"")</f>
        <v/>
      </c>
      <c r="GY21" s="88" t="str">
        <f>IF(AND($B$13="Floor",$G$13&lt;&gt;""),$G$13,"")</f>
        <v/>
      </c>
      <c r="GZ21" s="88" t="str">
        <f>IF(AND($B$14="Floor",$G$14&lt;&gt;""),$G$14,"")</f>
        <v/>
      </c>
      <c r="HA21" s="88" t="str">
        <f>IF(AND($B$15="Floor",$G$15&lt;&gt;""),$G$15,"")</f>
        <v/>
      </c>
      <c r="HB21" s="88" t="str">
        <f>IF(AND($B$16="Floor",$G$16&lt;&gt;""),$G$16,"")</f>
        <v/>
      </c>
      <c r="HC21" s="88" t="str">
        <f>IF(AND($B$17="Floor",$G$17&lt;&gt;""),$G$17,"")</f>
        <v/>
      </c>
      <c r="HD21" s="88" t="str">
        <f>IF(AND($B$18="Floor",$G$18&lt;&gt;""),$G$18,"")</f>
        <v/>
      </c>
      <c r="HE21" s="88" t="str">
        <f>IF(AND($B$19="Floor",$G$19&lt;&gt;""),$G$19,"")</f>
        <v/>
      </c>
      <c r="HF21" s="88" t="str">
        <f>IF(AND($B$20="Floor",$G$20&lt;&gt;""),$G$20,"")</f>
        <v/>
      </c>
    </row>
    <row r="22" spans="1:215" ht="16.2" customHeight="1" thickBot="1" x14ac:dyDescent="0.35">
      <c r="A22" s="29"/>
      <c r="B22" s="28"/>
      <c r="C22" s="128" t="s">
        <v>525</v>
      </c>
      <c r="D22" s="49" t="s">
        <v>526</v>
      </c>
      <c r="E22" s="13" t="str">
        <f>IFERROR(INDEX(AG:AI, MATCH($C$3,AG:AG,0), MATCH("Default Bass Hoop",$AG$2:$AI$2,0)),"")</f>
        <v/>
      </c>
      <c r="F22" s="13" t="s">
        <v>527</v>
      </c>
      <c r="G22" s="141"/>
      <c r="H22" s="130" t="str">
        <f ca="1">IF($G$22="","",IF(ISERROR(MATCH($G$22,INDIRECT(INDEX($AG:$AJ,MATCH($C$3,$AG:$AG,0 ),4)),0))=FALSE,"","Invalid Selection"))</f>
        <v/>
      </c>
      <c r="J22" s="1"/>
      <c r="K22" s="43"/>
      <c r="L22" s="4"/>
      <c r="M22" s="146"/>
      <c r="N22" s="188"/>
      <c r="O22" s="222" t="e">
        <f t="shared" ref="O22:O30" si="56">CONCATENATE("LB ",INDEX($AC$2:$AF$7,MATCH($C$2,$AE$2:$AE$7,0),1)," ",$CK$1)</f>
        <v>#N/A</v>
      </c>
      <c r="P22" s="195">
        <f t="shared" ref="P22:P30" si="57">IFERROR(INDEX($CU:$DB,MATCH($O22,$CU:$CU,0),MATCH("Retail",$CU$107:$DC$107,0)),0)</f>
        <v>0</v>
      </c>
      <c r="Q22" s="195">
        <f t="shared" ref="Q22:Q30" si="58">IFERROR(INDEX($CU:$DF,MATCH($O22,$CU:$CU,0),MATCH($L$1,$CU$105:$DF$105,0)),0)</f>
        <v>0</v>
      </c>
      <c r="R22" s="29"/>
      <c r="X22" s="15">
        <f ca="1">IF(OR($D$3&lt;&gt;"",$D$4&lt;&gt;"", $D$6&lt;&gt;""),1,0)</f>
        <v>0</v>
      </c>
      <c r="Y22" s="11" t="s">
        <v>528</v>
      </c>
      <c r="AG22" s="56" t="s">
        <v>476</v>
      </c>
      <c r="AH22" s="66" t="s">
        <v>113</v>
      </c>
      <c r="AI22" s="26" t="s">
        <v>114</v>
      </c>
      <c r="AJ22" s="104" t="s">
        <v>115</v>
      </c>
      <c r="AK22" s="105" t="s">
        <v>476</v>
      </c>
      <c r="AL22" s="6"/>
      <c r="AM22" s="6" t="s">
        <v>213</v>
      </c>
      <c r="AN22" s="6" t="s">
        <v>529</v>
      </c>
      <c r="AO22" s="6"/>
      <c r="AP22" s="6" t="s">
        <v>77</v>
      </c>
      <c r="AQ22" s="6"/>
      <c r="AR22" s="6"/>
      <c r="AT22" s="90" t="s">
        <v>494</v>
      </c>
      <c r="AU22" s="15">
        <f t="shared" si="54"/>
        <v>94</v>
      </c>
      <c r="AV22" s="15">
        <f t="shared" si="54"/>
        <v>94</v>
      </c>
      <c r="AW22" s="15">
        <f t="shared" si="54"/>
        <v>94</v>
      </c>
      <c r="AX22" s="15">
        <f t="shared" si="54"/>
        <v>0</v>
      </c>
      <c r="AY22" s="15">
        <f t="shared" si="54"/>
        <v>0</v>
      </c>
      <c r="AZ22" s="15">
        <f t="shared" si="54"/>
        <v>400</v>
      </c>
      <c r="BA22" s="15">
        <f t="shared" si="54"/>
        <v>0</v>
      </c>
      <c r="BB22" s="15">
        <f t="shared" si="54"/>
        <v>0</v>
      </c>
      <c r="BC22" s="15">
        <f t="shared" si="54"/>
        <v>0</v>
      </c>
      <c r="BD22" s="15">
        <f t="shared" si="54"/>
        <v>0</v>
      </c>
      <c r="BE22" s="15">
        <f t="shared" si="54"/>
        <v>0</v>
      </c>
      <c r="BF22" s="15">
        <f t="shared" si="54"/>
        <v>0</v>
      </c>
      <c r="BG22" s="6"/>
      <c r="BH22" s="56"/>
      <c r="BI22" s="1" t="s">
        <v>379</v>
      </c>
      <c r="BJ22" s="1" t="s">
        <v>530</v>
      </c>
      <c r="BK22" s="1" t="s">
        <v>530</v>
      </c>
      <c r="BL22" s="4" t="s">
        <v>531</v>
      </c>
      <c r="BM22" s="1" t="s">
        <v>510</v>
      </c>
      <c r="BP22" s="4" t="s">
        <v>450</v>
      </c>
      <c r="BQ22" s="4"/>
      <c r="BR22" s="6" t="str">
        <f t="shared" si="8"/>
        <v>Classic Maple 16x26 Bass Drum</v>
      </c>
      <c r="BS22" s="4" t="s">
        <v>450</v>
      </c>
      <c r="BT22" s="71"/>
      <c r="BV22" s="6" t="str">
        <f t="shared" si="47"/>
        <v>Legacy Maple 14x26 Bass Drum</v>
      </c>
      <c r="BW22" s="4" t="s">
        <v>371</v>
      </c>
      <c r="BX22" s="67"/>
      <c r="BZ22" s="6" t="str">
        <f t="shared" si="48"/>
        <v>Legacy Mahogany 14x26 Bass Drum</v>
      </c>
      <c r="CA22" s="4" t="s">
        <v>371</v>
      </c>
      <c r="CB22" s="67"/>
      <c r="CC22" s="9"/>
      <c r="CD22" s="6" t="str">
        <f t="shared" si="49"/>
        <v>Legacy Exotic 14x26 Bass Drum</v>
      </c>
      <c r="CE22" s="4" t="s">
        <v>371</v>
      </c>
      <c r="CF22" s="70"/>
      <c r="CG22" s="23" t="s">
        <v>532</v>
      </c>
      <c r="CH22" s="4" t="s">
        <v>450</v>
      </c>
      <c r="CI22" s="70"/>
      <c r="CJ22" s="4"/>
      <c r="CK22" s="90"/>
      <c r="CL22" s="157"/>
      <c r="CM22" s="157"/>
      <c r="CN22" s="157"/>
      <c r="CO22" s="157"/>
      <c r="CP22" s="157"/>
      <c r="CQ22" s="157"/>
      <c r="CS22" s="157"/>
      <c r="CT22" s="70"/>
      <c r="CU22" s="4">
        <f t="shared" si="50"/>
        <v>0</v>
      </c>
      <c r="CV22" s="93" t="s">
        <v>533</v>
      </c>
      <c r="CW22" s="93" t="s">
        <v>534</v>
      </c>
      <c r="CX22" s="93" t="s">
        <v>535</v>
      </c>
      <c r="CY22" s="93" t="s">
        <v>536</v>
      </c>
      <c r="CZ22" s="93" t="s">
        <v>537</v>
      </c>
      <c r="DA22" s="70"/>
      <c r="DB22" s="13" t="s">
        <v>52</v>
      </c>
      <c r="DC22" s="16" t="str">
        <f t="shared" si="2"/>
        <v>Bass.20x22 Bass Drum</v>
      </c>
      <c r="DD22" s="4" t="s">
        <v>399</v>
      </c>
      <c r="DE22" s="69" t="str">
        <f t="shared" si="3"/>
        <v>MLLC</v>
      </c>
      <c r="DF22" s="13" t="s">
        <v>78</v>
      </c>
      <c r="DG22" s="13" t="s">
        <v>79</v>
      </c>
      <c r="DH22" s="13"/>
      <c r="DI22" s="13"/>
      <c r="DK22" s="13"/>
      <c r="DL22" s="13"/>
      <c r="DM22" s="13"/>
      <c r="DN22" s="13">
        <f>IF(ISERROR(MATCH(DD23,$C$8:$C$20,0)=FALSE),0,1)</f>
        <v>0</v>
      </c>
      <c r="DO22" s="25" t="s">
        <v>353</v>
      </c>
      <c r="DP22" s="13"/>
      <c r="DR22" t="s">
        <v>538</v>
      </c>
      <c r="DS22" s="66">
        <f t="shared" si="52"/>
        <v>0</v>
      </c>
      <c r="DW22" s="110" t="s">
        <v>539</v>
      </c>
      <c r="DX22" s="66">
        <f t="shared" si="53"/>
        <v>0</v>
      </c>
      <c r="DY22" s="71" t="s">
        <v>540</v>
      </c>
      <c r="DZ22" s="25">
        <v>10</v>
      </c>
      <c r="EA22" s="25"/>
      <c r="EB22" s="13"/>
      <c r="EC22" s="16"/>
      <c r="ED22" s="26"/>
      <c r="EE22" s="26"/>
      <c r="EF22" s="24"/>
      <c r="EH22" s="24"/>
      <c r="EI22" s="24" t="s">
        <v>301</v>
      </c>
      <c r="EJ22" s="24"/>
      <c r="EK22" s="24"/>
      <c r="EL22" s="24"/>
      <c r="EM22" s="24"/>
      <c r="EN22" s="24"/>
      <c r="EO22" s="24"/>
      <c r="EP22" s="24"/>
      <c r="EQ22" s="24"/>
      <c r="ER22" s="24"/>
      <c r="ES22" s="24" t="s">
        <v>240</v>
      </c>
      <c r="EU22" s="26"/>
      <c r="EX22" s="27"/>
      <c r="EY22" s="18"/>
      <c r="FA22" s="69"/>
      <c r="FB22" s="90" t="str">
        <f>IF(COUNTIF(FB8:FB20,"Small")&gt;0,"Small","Big")</f>
        <v>Big</v>
      </c>
      <c r="FC22" s="90" t="str">
        <f>IF(OR(COUNTIF(FC8:FC20,"Large Twin")&gt;0,COUNTIF(FC8:FC20,"Large Imperial")&gt;0),"Large Twin", IF(COUNTIF(FC8:FC20,"Mach Lugs")&gt;0,"Mach Lugs", IF(OR(COUNTIF(FC8:FC20,"Mini Classic")&gt;0,COUNTIF(FC8:FC20,"Large Classic")&gt;0),"Mini Classic","Error")))</f>
        <v>Error</v>
      </c>
      <c r="FD22" s="90" t="str">
        <f>IF($G$30="Single","Single","Double")</f>
        <v>Double</v>
      </c>
      <c r="FE22" s="11" t="str">
        <f>CONCATENATE(FC22,".",FB22,".",FD22)</f>
        <v>Error.Big.Double</v>
      </c>
      <c r="FI22" s="59" t="s">
        <v>541</v>
      </c>
      <c r="FJ22" s="60">
        <f>SUM(FJ8:FJ21)</f>
        <v>0</v>
      </c>
      <c r="FK22" s="62">
        <v>22</v>
      </c>
      <c r="FN22" s="15" t="str">
        <f>C22</f>
        <v>Bass Drum Details</v>
      </c>
      <c r="FO22" s="13" t="str">
        <f>D22</f>
        <v xml:space="preserve">Hoops </v>
      </c>
      <c r="FP22" t="str">
        <f t="shared" si="55"/>
        <v/>
      </c>
      <c r="FQ22" t="str">
        <f t="shared" ref="FQ22:FR29" si="59">F22</f>
        <v>Change to</v>
      </c>
      <c r="FR22">
        <f t="shared" si="59"/>
        <v>0</v>
      </c>
      <c r="FU22" s="13" t="s">
        <v>542</v>
      </c>
      <c r="FV22" t="s">
        <v>542</v>
      </c>
      <c r="FW22" t="s">
        <v>542</v>
      </c>
      <c r="GC22" s="119">
        <f>IF(COUNTIF(Tom_DblSngl,"*"&amp;GD22&amp;"*")&gt;0=TRUE,1,0)</f>
        <v>1</v>
      </c>
      <c r="GD22" t="s">
        <v>543</v>
      </c>
      <c r="GE22" s="121"/>
      <c r="GG22" t="s">
        <v>544</v>
      </c>
      <c r="GH22" t="s">
        <v>545</v>
      </c>
      <c r="GS22" s="58" t="s">
        <v>546</v>
      </c>
      <c r="GT22" s="89" t="str">
        <f>IF(AND($B$8="Tom",$G$8&lt;&gt;""),$G$8,"")</f>
        <v/>
      </c>
      <c r="GU22" s="89" t="str">
        <f>IF(AND($B$9="Tom",$G$9&lt;&gt;""),$G$9,"")</f>
        <v/>
      </c>
      <c r="GV22" s="89" t="str">
        <f>IF(AND($B$10="Tom",$G$10&lt;&gt;""),$G$10,"")</f>
        <v/>
      </c>
      <c r="GW22" s="89" t="str">
        <f>IF(AND($B$11="Tom",$G$11&lt;&gt;""),$G$11,"")</f>
        <v/>
      </c>
      <c r="GX22" s="89" t="str">
        <f>IF(AND($B$12="Tom",$G$12&lt;&gt;""),$G$12,"")</f>
        <v/>
      </c>
      <c r="GY22" s="89" t="str">
        <f>IF(AND($B$13="Tom",$G$13&lt;&gt;""),$G$13,"")</f>
        <v/>
      </c>
      <c r="GZ22" s="89" t="str">
        <f>IF(AND($B$14="Tom",$G$14&lt;&gt;""),$G$14,"")</f>
        <v/>
      </c>
      <c r="HA22" s="64" t="str">
        <f>IF(AND($B$15="Tom",$G$15&lt;&gt;""),$G$15,"")</f>
        <v/>
      </c>
      <c r="HB22" s="64" t="str">
        <f>IF(AND($B$16="Tom",$G$16&lt;&gt;""),$G$16,"")</f>
        <v/>
      </c>
      <c r="HC22" s="64" t="str">
        <f>IF(AND($B$17="Tom",$G$17&lt;&gt;""),$G$17,"")</f>
        <v/>
      </c>
      <c r="HD22" s="64" t="str">
        <f>IF(AND($B$18="Tom",$G$18&lt;&gt;""),$G$18,"")</f>
        <v/>
      </c>
      <c r="HE22" s="64" t="str">
        <f>IF(AND($B$19="Tom",$G$19&lt;&gt;""),$G$19,"")</f>
        <v/>
      </c>
      <c r="HF22" s="64" t="str">
        <f>IF(AND($B$20="Tom",$G$20&lt;&gt;""),$G$20,"")</f>
        <v/>
      </c>
    </row>
    <row r="23" spans="1:215" ht="15.6" x14ac:dyDescent="0.3">
      <c r="A23" s="29"/>
      <c r="B23" s="28" t="str">
        <f>FE26</f>
        <v>Spurs_FN</v>
      </c>
      <c r="C23" s="50"/>
      <c r="D23" s="30" t="s">
        <v>547</v>
      </c>
      <c r="E23" s="13" t="str">
        <f>IF(AND(C3="MH Vintage Mahogany", G22=""),"NM Vintage White Marine",  IF(AND(G22="",OR(E22="Satin Sable w/Inlay",E22 = "Satin Natural w/inlay",E22= "Sable Black w/Inlay", E22= "Natural w/Inlay", E22= "Matching w/Inlay")), C3, IF(OR(G22 = "Satin Sable w/Inlay",G22 = "Satin Natural w/Inlay", G22="Satin Sable w/Accent",   AND(E22="Satin Sable w/Accent",G22 = ""),G22="Satin Natural w/Accent", G22 = "Full Width Accent", G22 = "Sable Black w/Inlay", G22="Sable Black w/Accent", G22="Natural w/Inlay", G22= "Natural w/Accent", G22= "Matching Hoop w/Inlay"),INDEX(AG:AK, MATCH(C3,AG:AG,0),5),"Does Not Apply")  ))</f>
        <v>Does Not Apply</v>
      </c>
      <c r="F23" s="13" t="s">
        <v>527</v>
      </c>
      <c r="G23" s="141"/>
      <c r="H23" s="130" t="str">
        <f ca="1">IF($G$23="","",IF(ISERROR(MATCH($G$23,INDIRECT(B26),0))=FALSE,"","Invalid Selection"))</f>
        <v/>
      </c>
      <c r="J23" s="1"/>
      <c r="K23" s="43"/>
      <c r="L23" s="147"/>
      <c r="M23" s="1"/>
      <c r="N23" s="188"/>
      <c r="O23" s="222" t="e">
        <f t="shared" si="56"/>
        <v>#N/A</v>
      </c>
      <c r="P23" s="195">
        <f t="shared" si="57"/>
        <v>0</v>
      </c>
      <c r="Q23" s="195">
        <f t="shared" si="58"/>
        <v>0</v>
      </c>
      <c r="R23" s="29"/>
      <c r="X23" s="15">
        <f ca="1">COUNTIF(C7:G7,"*INVALID SELECTION*")</f>
        <v>0</v>
      </c>
      <c r="Y23" s="11" t="s">
        <v>548</v>
      </c>
      <c r="AE23" s="2" t="s">
        <v>549</v>
      </c>
      <c r="AG23" s="56" t="s">
        <v>550</v>
      </c>
      <c r="AH23" s="66" t="s">
        <v>113</v>
      </c>
      <c r="AI23" s="26" t="s">
        <v>114</v>
      </c>
      <c r="AJ23" s="104" t="s">
        <v>115</v>
      </c>
      <c r="AK23" s="105" t="s">
        <v>550</v>
      </c>
      <c r="AL23" s="6"/>
      <c r="AM23" s="6" t="s">
        <v>117</v>
      </c>
      <c r="AN23" s="6" t="s">
        <v>529</v>
      </c>
      <c r="AO23" s="6" t="s">
        <v>551</v>
      </c>
      <c r="AP23" s="6" t="s">
        <v>77</v>
      </c>
      <c r="AQ23" s="6"/>
      <c r="AR23" s="6"/>
      <c r="AT23" s="90" t="s">
        <v>512</v>
      </c>
      <c r="AU23" s="15">
        <f t="shared" si="54"/>
        <v>94</v>
      </c>
      <c r="AV23" s="15">
        <f t="shared" si="54"/>
        <v>94</v>
      </c>
      <c r="AW23" s="15">
        <f t="shared" si="54"/>
        <v>94</v>
      </c>
      <c r="AX23" s="15">
        <f t="shared" si="54"/>
        <v>0</v>
      </c>
      <c r="AY23" s="15">
        <f t="shared" si="54"/>
        <v>0</v>
      </c>
      <c r="AZ23" s="15">
        <f t="shared" si="54"/>
        <v>400</v>
      </c>
      <c r="BA23" s="15">
        <f t="shared" si="54"/>
        <v>0</v>
      </c>
      <c r="BB23" s="15">
        <f t="shared" si="54"/>
        <v>0</v>
      </c>
      <c r="BC23" s="15">
        <f t="shared" si="54"/>
        <v>0</v>
      </c>
      <c r="BD23" s="15">
        <f t="shared" si="54"/>
        <v>0</v>
      </c>
      <c r="BE23" s="15">
        <f t="shared" si="54"/>
        <v>0</v>
      </c>
      <c r="BF23" s="15">
        <f t="shared" si="54"/>
        <v>0</v>
      </c>
      <c r="BG23" s="6"/>
      <c r="BH23" s="56"/>
      <c r="BI23" s="1" t="s">
        <v>345</v>
      </c>
      <c r="BJ23" s="1" t="s">
        <v>552</v>
      </c>
      <c r="BK23" s="1" t="s">
        <v>552</v>
      </c>
      <c r="BL23" s="4" t="s">
        <v>553</v>
      </c>
      <c r="BM23" s="1" t="s">
        <v>530</v>
      </c>
      <c r="BR23" s="7"/>
      <c r="BT23" s="71"/>
      <c r="BV23" s="6" t="str">
        <f t="shared" si="47"/>
        <v>Legacy Maple 16x26 Bass Drum</v>
      </c>
      <c r="BW23" s="4" t="s">
        <v>450</v>
      </c>
      <c r="BX23" s="67"/>
      <c r="BZ23" s="6" t="str">
        <f t="shared" si="48"/>
        <v>Legacy Mahogany 16x26 Bass Drum</v>
      </c>
      <c r="CA23" s="4" t="s">
        <v>450</v>
      </c>
      <c r="CB23" s="67"/>
      <c r="CC23" s="9"/>
      <c r="CD23" s="6" t="str">
        <f t="shared" si="49"/>
        <v>Legacy Exotic 16x26 Bass Drum</v>
      </c>
      <c r="CE23" s="4" t="s">
        <v>450</v>
      </c>
      <c r="CI23" s="70"/>
      <c r="CJ23" s="4"/>
      <c r="CK23" s="90"/>
      <c r="CL23" s="157"/>
      <c r="CM23" s="157"/>
      <c r="CN23" s="157"/>
      <c r="CO23" s="157"/>
      <c r="CP23" s="157"/>
      <c r="CQ23" s="157"/>
      <c r="CS23" s="157"/>
      <c r="CT23" s="70"/>
      <c r="CU23" s="4">
        <f t="shared" si="50"/>
        <v>0</v>
      </c>
      <c r="CV23" s="93" t="s">
        <v>554</v>
      </c>
      <c r="CW23" s="93" t="s">
        <v>555</v>
      </c>
      <c r="CX23" s="93" t="s">
        <v>556</v>
      </c>
      <c r="CY23" s="93" t="s">
        <v>557</v>
      </c>
      <c r="CZ23" s="93" t="s">
        <v>558</v>
      </c>
      <c r="DB23" s="13" t="s">
        <v>52</v>
      </c>
      <c r="DC23" s="16" t="str">
        <f t="shared" si="2"/>
        <v>Bass.20x24 Bass Drum</v>
      </c>
      <c r="DD23" s="4" t="s">
        <v>478</v>
      </c>
      <c r="DE23" s="69" t="str">
        <f t="shared" si="3"/>
        <v>MLLC</v>
      </c>
      <c r="DF23" s="13" t="s">
        <v>78</v>
      </c>
      <c r="DG23" s="13" t="s">
        <v>79</v>
      </c>
      <c r="DH23" s="13"/>
      <c r="DI23" s="13"/>
      <c r="DK23" s="13"/>
      <c r="DL23" s="13"/>
      <c r="DM23" s="13"/>
      <c r="DN23" s="13">
        <f>IF(ISERROR(MATCH(DD24,$C$8:$C$20,0)=FALSE),0,1)</f>
        <v>0</v>
      </c>
      <c r="DO23" s="25" t="s">
        <v>353</v>
      </c>
      <c r="DP23" s="13"/>
      <c r="DR23" t="s">
        <v>559</v>
      </c>
      <c r="DS23" s="66">
        <v>0</v>
      </c>
      <c r="DW23" s="110" t="s">
        <v>560</v>
      </c>
      <c r="DX23" s="66">
        <f t="shared" si="53"/>
        <v>0</v>
      </c>
      <c r="DY23" s="71" t="s">
        <v>143</v>
      </c>
      <c r="DZ23" s="25">
        <v>10</v>
      </c>
      <c r="EA23" s="25"/>
      <c r="EB23" s="13"/>
      <c r="EC23" s="16"/>
      <c r="ED23" s="26"/>
      <c r="EE23" s="26"/>
      <c r="EF23" s="24"/>
      <c r="EH23" s="24"/>
      <c r="EI23" s="24" t="s">
        <v>320</v>
      </c>
      <c r="EJ23" s="24"/>
      <c r="EK23" s="24"/>
      <c r="EL23" s="24"/>
      <c r="EM23" s="24"/>
      <c r="EN23" s="24"/>
      <c r="EO23" s="24"/>
      <c r="EP23" s="24"/>
      <c r="EQ23" s="24"/>
      <c r="ER23" s="24"/>
      <c r="ES23" s="24" t="s">
        <v>52</v>
      </c>
      <c r="ET23" t="b">
        <f>IF($C$2="Classic Oak","Double 45",IF(OR($C$2="Legacy Exotic",$C$2="Legacy Mahogany",$C$2="Legacy Maple"),"Legacy Edges",IF($C$2="Classic Maple", IF(G29="","Single 45", G29))))</f>
        <v>0</v>
      </c>
      <c r="EU23" s="26"/>
      <c r="EW23" t="str">
        <f>IF(EW21&gt;0,"Keyrods","T-Handles")</f>
        <v>T-Handles</v>
      </c>
      <c r="EX23" s="27"/>
      <c r="EY23" s="18"/>
      <c r="FA23" s="69"/>
      <c r="FB23" s="43" t="s">
        <v>561</v>
      </c>
      <c r="FC23" s="43" t="s">
        <v>561</v>
      </c>
      <c r="FD23" t="s">
        <v>561</v>
      </c>
      <c r="FE23" s="4"/>
      <c r="FK23" s="73">
        <v>23</v>
      </c>
      <c r="FL23" s="13">
        <f t="shared" ref="FL23:FL49" si="60">A23</f>
        <v>0</v>
      </c>
      <c r="FM23" s="7" t="str">
        <f t="shared" ref="FM23:FM30" si="61">B23</f>
        <v>Spurs_FN</v>
      </c>
      <c r="FN23" s="13"/>
      <c r="FO23" s="7" t="str">
        <f t="shared" ref="FO23:FO30" si="62">D23</f>
        <v>Inlay/Accent</v>
      </c>
      <c r="FP23" t="str">
        <f t="shared" si="55"/>
        <v>Does Not Apply</v>
      </c>
      <c r="FQ23" t="str">
        <f t="shared" si="59"/>
        <v>Change to</v>
      </c>
      <c r="FR23">
        <f t="shared" si="59"/>
        <v>0</v>
      </c>
      <c r="FU23" s="13" t="s">
        <v>562</v>
      </c>
      <c r="FV23" t="s">
        <v>563</v>
      </c>
      <c r="FW23" t="s">
        <v>564</v>
      </c>
      <c r="GC23" s="122">
        <f>IF(COUNTIF(Floor_DblSngl,"*"&amp;GD23&amp;"*")&gt;0=TRUE,1,0)</f>
        <v>1</v>
      </c>
      <c r="GD23" t="s">
        <v>565</v>
      </c>
      <c r="GE23" s="121"/>
      <c r="GS23" s="58" t="s">
        <v>566</v>
      </c>
      <c r="GT23" s="107" t="str">
        <f>IF(OR($B$8="Bass",$B$8=""),"", IF(AND($B$8="Snare",$G$45="Baseball Bat Tone Control"),"Baseball Bat Tone Control", IF(AND($B$8="Tom",$G$32="Baseball Bat Tone Control"),"Baseball Bat Tone Control",IF(AND($B$8="Floor",$G$38="Baseball Bat Tone Control"),"Baseball Bat Tone Control","None"))))</f>
        <v/>
      </c>
      <c r="GU23" s="107" t="str">
        <f>IF(OR($B$9="Bass",$B$9=""),"", IF(AND($B$9="Snare",$G$45="Baseball Bat Tone Control"),"Baseball Bat Tone Control", IF(AND($B$9="Tom",$G$32="Baseball Bat Tone Control"),"Baseball Bat Tone Control",IF(AND($B$9="Floor",$G$38="Baseball Bat Tone Control"),"Baseball Bat Tone Control","None"))))</f>
        <v/>
      </c>
      <c r="GV23" s="107" t="str">
        <f>IF(OR($B$10="Bass",$B$10=""),"", IF(AND($B$10="Snare",$G$45="Baseball Bat Tone Control"),"Baseball Bat Tone Control", IF(AND($B$10="Tom",$G$32="Baseball Bat Tone Control"),"Baseball Bat Tone Control",IF(AND($B$10="Floor",$G$38="Baseball Bat Tone Control"),"Baseball Bat Tone Control","None"))))</f>
        <v/>
      </c>
      <c r="GW23" s="107" t="str">
        <f>IF(OR($B$11="Bass",$B$11=""),"", IF(AND($B$11="Snare",$G$45="Baseball Bat Tone Control"),"Baseball Bat Tone Control", IF(AND($B$11="Tom",$G$32="Baseball Bat Tone Control"),"Baseball Bat Tone Control",IF(AND($B$11="Floor",$G$38="Baseball Bat Tone Control"),"Baseball Bat Tone Control","None"))))</f>
        <v/>
      </c>
      <c r="GX23" s="107" t="str">
        <f>IF(OR($B$12="Bass",$B$12=""),"", IF(AND($B$12="Snare",$G$45="Baseball Bat Tone Control"),"Baseball Bat Tone Control", IF(AND($B$12="Tom",$G$32="Baseball Bat Tone Control"),"Baseball Bat Tone Control",IF(AND($B$12="Floor",$G$38="Baseball Bat Tone Control"),"Baseball Bat Tone Control","None"))))</f>
        <v/>
      </c>
      <c r="GY23" s="107" t="str">
        <f>IF(OR($B$13="Bass",$B$13=""),"", IF(AND($B$13="Snare",$G$45="Baseball Bat Tone Control"),"Baseball Bat Tone Control", IF(AND($B$13="Tom",$G$32="Baseball Bat Tone Control"),"Baseball Bat Tone Control",IF(AND($B$13="Floor",$G$38="Baseball Bat Tone Control"),"Baseball Bat Tone Control","None"))))</f>
        <v/>
      </c>
      <c r="GZ23" s="107" t="str">
        <f>IF(OR($B$14="Bass",$B$14=""),"", IF(AND($B$14="Snare",$G$45="Baseball Bat Tone Control"),"Baseball Bat Tone Control", IF(AND($B$14="Tom",$G$32="Baseball Bat Tone Control"),"Baseball Bat Tone Control",IF(AND($B$14="Floor",$G$38="Baseball Bat Tone Control"),"Baseball Bat Tone Control","None"))))</f>
        <v/>
      </c>
      <c r="HA23" s="107" t="str">
        <f>IF(OR($B$15="Bass",$B$15=""),"", IF(AND($B$15="Snare",$G$45="Baseball Bat Tone Control"),"Baseball Bat Tone Control", IF(AND($B$15="Tom",$G$32="Baseball Bat Tone Control"),"Baseball Bat Tone Control",IF(AND($B$15="Floor",$G$38="Baseball Bat Tone Control"),"Baseball Bat Tone Control","None"))))</f>
        <v/>
      </c>
      <c r="HB23" s="107" t="str">
        <f>IF(OR($B$16="Bass",$B$16=""),"", IF(AND($B$16="Snare",$G$45="Baseball Bat Tone Control"),"Baseball Bat Tone Control", IF(AND($B$16="Tom",$G$32="Baseball Bat Tone Control"),"Baseball Bat Tone Control",IF(AND($B$16="Floor",$G$38="Baseball Bat Tone Control"),"Baseball Bat Tone Control","None"))))</f>
        <v/>
      </c>
      <c r="HC23" s="107" t="str">
        <f>IF(OR($B$17="Bass",$B$17=""),"", IF(AND($B$17="Snare",$G$45="Baseball Bat Tone Control"),"Baseball Bat Tone Control", IF(AND($B$17="Tom",$G$32="Baseball Bat Tone Control"),"Baseball Bat Tone Control",IF(AND($B$17="Floor",$G$38="Baseball Bat Tone Control"),"Baseball Bat Tone Control","None"))))</f>
        <v/>
      </c>
      <c r="HD23" s="107" t="str">
        <f>IF(OR($B$18="Bass",$B$18=""),"", IF(AND($B$18="Snare",$G$45="Baseball Bat Tone Control"),"Baseball Bat Tone Control", IF(AND($B$18="Tom",$G$32="Baseball Bat Tone Control"),"Baseball Bat Tone Control",IF(AND($B$18="Floor",$G$38="Baseball Bat Tone Control"),"Baseball Bat Tone Control","None"))))</f>
        <v/>
      </c>
      <c r="HE23" s="107" t="str">
        <f>IF(OR($B$19="Bass",$B$19=""),"", IF(AND($B$19="Snare",$G$45="Baseball Bat Tone Control"),"Baseball Bat Tone Control", IF(AND($B$19="Tom",$G$32="Baseball Bat Tone Control"),"Baseball Bat Tone Control",IF(AND($B$19="Floor",$G$38="Baseball Bat Tone Control"),"Baseball Bat Tone Control","None"))))</f>
        <v/>
      </c>
      <c r="HF23" s="107" t="str">
        <f>IF(OR($B$20="Bass",$B$20=""),"", IF(AND($B$20="Snare",$G$45="Baseball Bat Tone Control"),"Baseball Bat Tone Control", IF(AND($B$20="Tom",$G$32="Baseball Bat Tone Control"),"Baseball Bat Tone Control",IF(AND($B$20="Floor",$G$38="Baseball Bat Tone Control"),"Baseball Bat Tone Control","None"))))</f>
        <v/>
      </c>
    </row>
    <row r="24" spans="1:215" ht="15.6" x14ac:dyDescent="0.3">
      <c r="A24" s="28" t="s">
        <v>567</v>
      </c>
      <c r="B24" s="28">
        <f>COUNTIF($B$8:$B$20,"Bass")</f>
        <v>0</v>
      </c>
      <c r="C24" s="50"/>
      <c r="D24" s="30" t="s">
        <v>568</v>
      </c>
      <c r="E24" s="13" t="str">
        <f>FE27</f>
        <v>Elite Kick Style</v>
      </c>
      <c r="F24" s="13" t="s">
        <v>527</v>
      </c>
      <c r="G24" s="141"/>
      <c r="H24" s="130" t="str">
        <f ca="1">IF($G$24="","",IF(ISERROR(MATCH($G$24,INDIRECT(B23),0))=FALSE,"","Invalid Selection"))</f>
        <v/>
      </c>
      <c r="J24" s="1"/>
      <c r="K24" s="43"/>
      <c r="L24" s="147"/>
      <c r="M24" s="4"/>
      <c r="N24" s="188"/>
      <c r="O24" s="222" t="e">
        <f t="shared" si="56"/>
        <v>#N/A</v>
      </c>
      <c r="P24" s="195">
        <f t="shared" si="57"/>
        <v>0</v>
      </c>
      <c r="Q24" s="195">
        <f t="shared" si="58"/>
        <v>0</v>
      </c>
      <c r="R24" s="29"/>
      <c r="X24" s="15">
        <f ca="1">SUM($X$8:$X$20)</f>
        <v>0</v>
      </c>
      <c r="Y24" s="11" t="s">
        <v>246</v>
      </c>
      <c r="AE24" t="str">
        <f>IF(G30 = "Single", "Nuthin'", "Black w/Script Logo")</f>
        <v>Black w/Script Logo</v>
      </c>
      <c r="AG24" s="56" t="s">
        <v>569</v>
      </c>
      <c r="AH24" s="66" t="s">
        <v>113</v>
      </c>
      <c r="AI24" s="26" t="s">
        <v>114</v>
      </c>
      <c r="AJ24" s="104" t="s">
        <v>115</v>
      </c>
      <c r="AK24" s="105" t="s">
        <v>569</v>
      </c>
      <c r="AL24" s="6"/>
      <c r="AM24" s="6"/>
      <c r="AN24" s="6"/>
      <c r="AO24" s="6"/>
      <c r="AP24" s="6"/>
      <c r="AQ24" s="6"/>
      <c r="AR24" s="6"/>
      <c r="AT24" s="90" t="s">
        <v>532</v>
      </c>
      <c r="AU24" s="15">
        <f t="shared" si="54"/>
        <v>94</v>
      </c>
      <c r="AV24" s="15">
        <f t="shared" si="54"/>
        <v>94</v>
      </c>
      <c r="AW24" s="15">
        <f t="shared" si="54"/>
        <v>94</v>
      </c>
      <c r="AX24" s="15">
        <f t="shared" si="54"/>
        <v>0</v>
      </c>
      <c r="AY24" s="15">
        <f t="shared" si="54"/>
        <v>0</v>
      </c>
      <c r="AZ24" s="15">
        <f t="shared" si="54"/>
        <v>400</v>
      </c>
      <c r="BA24" s="15">
        <f t="shared" si="54"/>
        <v>0</v>
      </c>
      <c r="BB24" s="15">
        <f t="shared" si="54"/>
        <v>0</v>
      </c>
      <c r="BC24" s="15">
        <f t="shared" si="54"/>
        <v>0</v>
      </c>
      <c r="BD24" s="15">
        <f t="shared" si="54"/>
        <v>0</v>
      </c>
      <c r="BE24" s="15">
        <f t="shared" si="54"/>
        <v>0</v>
      </c>
      <c r="BF24" s="15">
        <f t="shared" si="54"/>
        <v>0</v>
      </c>
      <c r="BG24" s="6"/>
      <c r="BH24" s="56"/>
      <c r="BI24" s="1" t="s">
        <v>584</v>
      </c>
      <c r="BJ24" s="1" t="s">
        <v>570</v>
      </c>
      <c r="BK24" s="1" t="s">
        <v>570</v>
      </c>
      <c r="BL24" s="1" t="s">
        <v>571</v>
      </c>
      <c r="BM24" s="56" t="s">
        <v>572</v>
      </c>
      <c r="BR24" s="7"/>
      <c r="BW24" s="4"/>
      <c r="CJ24"/>
      <c r="CK24" s="90"/>
      <c r="CU24"/>
      <c r="DB24" s="13" t="s">
        <v>53</v>
      </c>
      <c r="DC24" s="16" t="str">
        <f t="shared" si="2"/>
        <v>Floor.12x14 Floor Tom</v>
      </c>
      <c r="DD24" s="4" t="s">
        <v>573</v>
      </c>
      <c r="DE24" s="69" t="str">
        <f t="shared" si="3"/>
        <v>MLLCLL</v>
      </c>
      <c r="DF24" s="13" t="s">
        <v>78</v>
      </c>
      <c r="DG24" s="13" t="s">
        <v>79</v>
      </c>
      <c r="DH24" s="13" t="s">
        <v>69</v>
      </c>
      <c r="DI24" s="13"/>
      <c r="DK24" s="13"/>
      <c r="DL24" s="13"/>
      <c r="DM24" s="13"/>
      <c r="DN24" s="13"/>
      <c r="DR24" s="4"/>
      <c r="DT24" s="10"/>
      <c r="DX24" s="66"/>
      <c r="DY24" s="71"/>
      <c r="EB24" s="13"/>
      <c r="EC24" s="16"/>
      <c r="ED24" s="26"/>
      <c r="EE24" s="26"/>
      <c r="EG24" s="24"/>
      <c r="EH24" s="24"/>
      <c r="EI24" s="24" t="s">
        <v>302</v>
      </c>
      <c r="EJ24" s="24"/>
      <c r="EK24" s="24"/>
      <c r="EL24" s="24"/>
      <c r="EM24" s="24"/>
      <c r="EN24" s="24"/>
      <c r="EO24" s="24"/>
      <c r="EP24" s="24"/>
      <c r="EQ24" s="24"/>
      <c r="ER24" s="24"/>
      <c r="ES24" s="24" t="s">
        <v>54</v>
      </c>
      <c r="ET24" t="b">
        <f>IF($C$2="Classic Oak","Double 45",IF(OR($C$2="Legacy Exotic",$C$2="Legacy Mahogany",$C$2="Legacy Maple"),"Legacy Edges",IF($C$2="Classic Maple", IF($G$35="","Single 45",$G$35))))</f>
        <v>0</v>
      </c>
      <c r="EU24" s="26"/>
      <c r="EX24" s="27"/>
      <c r="EY24" s="18"/>
      <c r="FA24" s="69"/>
      <c r="FB24" s="211" t="s">
        <v>273</v>
      </c>
      <c r="FC24" s="43" t="s">
        <v>574</v>
      </c>
      <c r="FD24" s="4" t="s">
        <v>575</v>
      </c>
      <c r="FE24" s="4"/>
      <c r="FK24" s="73">
        <v>24</v>
      </c>
      <c r="FL24" s="13" t="str">
        <f t="shared" si="60"/>
        <v>BD Count</v>
      </c>
      <c r="FM24" s="7">
        <f t="shared" si="61"/>
        <v>0</v>
      </c>
      <c r="FN24" s="13"/>
      <c r="FO24" s="7" t="str">
        <f t="shared" si="62"/>
        <v xml:space="preserve">Spurs </v>
      </c>
      <c r="FP24" t="str">
        <f t="shared" si="55"/>
        <v>Elite Kick Style</v>
      </c>
      <c r="FQ24" t="str">
        <f t="shared" si="59"/>
        <v>Change to</v>
      </c>
      <c r="FR24">
        <f t="shared" si="59"/>
        <v>0</v>
      </c>
      <c r="FV24" t="s">
        <v>46</v>
      </c>
      <c r="FW24" t="s">
        <v>576</v>
      </c>
      <c r="GC24" s="122">
        <f>IF(COUNTIF(Bass_DblSngl,"*"&amp;GD24&amp;"*")&gt;0=TRUE,1,0)</f>
        <v>1</v>
      </c>
      <c r="GD24" t="s">
        <v>577</v>
      </c>
      <c r="GE24" s="121"/>
      <c r="GG24" t="s">
        <v>29</v>
      </c>
      <c r="GS24" s="58" t="s">
        <v>578</v>
      </c>
      <c r="GT24" s="88" t="str">
        <f>IF(AND($B$8="Snare",$G$8&lt;&gt;""),$G$8,"")</f>
        <v/>
      </c>
      <c r="GU24" s="88" t="str">
        <f>IF(AND($B$9="Snare",$G$9&lt;&gt;""),$G$9,"")</f>
        <v/>
      </c>
      <c r="GV24" s="88" t="str">
        <f>IF(AND($B$10="Snare",$G$10&lt;&gt;""),$G$10,"")</f>
        <v/>
      </c>
      <c r="GW24" s="88" t="str">
        <f>IF(AND($B$11="Snare",$G$11&lt;&gt;""),$G$11,"")</f>
        <v/>
      </c>
      <c r="GX24" s="88" t="str">
        <f>IF(AND($B$12="Snare",$G$12&lt;&gt;""),$G$12,"")</f>
        <v/>
      </c>
      <c r="GY24" s="88" t="str">
        <f>IF(AND($B$13="Snare",$G$13&lt;&gt;""),$G$13,"")</f>
        <v/>
      </c>
      <c r="GZ24" s="88" t="str">
        <f>IF(AND($B$14="Snare",$G$14&lt;&gt;""),$G$14,"")</f>
        <v/>
      </c>
      <c r="HA24" s="88" t="str">
        <f>IF(AND($B$15="Snare",$G$15&lt;&gt;""),$G$15,"")</f>
        <v/>
      </c>
      <c r="HB24" s="88" t="str">
        <f>IF(AND($B$16="Snare",$G$16&lt;&gt;""),$G$16,"")</f>
        <v/>
      </c>
      <c r="HC24" s="88" t="str">
        <f>IF(AND($B$17="Snare",$G$17&lt;&gt;""),$G$17,"")</f>
        <v/>
      </c>
      <c r="HD24" s="88" t="str">
        <f>IF(AND($B$18="Snare",$G$18&lt;&gt;""),$G$18,"")</f>
        <v/>
      </c>
      <c r="HE24" s="88" t="str">
        <f>IF(AND($B$19="Snare",$G$19&lt;&gt;""),$G$19,"")</f>
        <v/>
      </c>
      <c r="HF24" s="88" t="str">
        <f>IF(AND($B$20="Snare",$G$20&lt;&gt;""),$G$20,"")</f>
        <v/>
      </c>
    </row>
    <row r="25" spans="1:215" ht="16.2" thickBot="1" x14ac:dyDescent="0.35">
      <c r="A25" s="28" t="s">
        <v>579</v>
      </c>
      <c r="B25" s="28" t="e">
        <f>INDEX($AG:$AJ, MATCH($C$3,$AG:$AG,0), MATCH("Range Name",$AG$2:$AJ$2,0))</f>
        <v>#N/A</v>
      </c>
      <c r="C25" s="50"/>
      <c r="D25" s="30" t="s">
        <v>580</v>
      </c>
      <c r="E25" s="13" t="str">
        <f>IF(G30 ="Single", "There ain't none","Smth White w/Logo")</f>
        <v>Smth White w/Logo</v>
      </c>
      <c r="F25" s="13" t="str">
        <f>IF(G30="Single", "No Option", "Change to")</f>
        <v>Change to</v>
      </c>
      <c r="G25" s="141"/>
      <c r="H25" s="130"/>
      <c r="J25" s="1"/>
      <c r="K25" s="43"/>
      <c r="L25" s="147"/>
      <c r="M25" s="4"/>
      <c r="N25" s="188"/>
      <c r="O25" s="222" t="e">
        <f t="shared" si="56"/>
        <v>#N/A</v>
      </c>
      <c r="P25" s="195">
        <f t="shared" si="57"/>
        <v>0</v>
      </c>
      <c r="Q25" s="195">
        <f t="shared" si="58"/>
        <v>0</v>
      </c>
      <c r="R25" s="29"/>
      <c r="X25" s="214">
        <f ca="1">COUNTIF(H22:H49,"*INVALID SELECTION*")</f>
        <v>0</v>
      </c>
      <c r="Y25" s="11" t="s">
        <v>242</v>
      </c>
      <c r="AE25" t="str">
        <f>IF(G30="Single", "Even Less","Clr w/Script Logo")</f>
        <v>Clr w/Script Logo</v>
      </c>
      <c r="AG25" s="56" t="s">
        <v>581</v>
      </c>
      <c r="AH25" s="66" t="s">
        <v>113</v>
      </c>
      <c r="AI25" s="26" t="s">
        <v>114</v>
      </c>
      <c r="AJ25" s="104" t="s">
        <v>115</v>
      </c>
      <c r="AK25" s="105" t="s">
        <v>581</v>
      </c>
      <c r="AL25" s="6"/>
      <c r="AM25" s="56" t="e">
        <f>INDEX(AM3:AR14,MATCH(CONCATENATE(C2," ",AN19),AM3:AM14,0),6)</f>
        <v>#N/A</v>
      </c>
      <c r="AN25" s="6"/>
      <c r="AO25" s="6" t="s">
        <v>582</v>
      </c>
      <c r="AP25" s="6"/>
      <c r="AQ25" s="6"/>
      <c r="AR25" s="6"/>
      <c r="AT25" s="90" t="s">
        <v>583</v>
      </c>
      <c r="AU25" s="15">
        <f t="shared" si="54"/>
        <v>121</v>
      </c>
      <c r="AV25" s="15">
        <f t="shared" si="54"/>
        <v>121</v>
      </c>
      <c r="AW25" s="15">
        <f t="shared" si="54"/>
        <v>121</v>
      </c>
      <c r="AX25" s="15">
        <f t="shared" si="54"/>
        <v>0</v>
      </c>
      <c r="AY25" s="15">
        <f t="shared" si="54"/>
        <v>0</v>
      </c>
      <c r="AZ25" s="15">
        <f t="shared" si="54"/>
        <v>404</v>
      </c>
      <c r="BA25" s="15">
        <f t="shared" si="54"/>
        <v>0</v>
      </c>
      <c r="BB25" s="15">
        <f t="shared" si="54"/>
        <v>0</v>
      </c>
      <c r="BC25" s="15">
        <f t="shared" si="54"/>
        <v>0</v>
      </c>
      <c r="BD25" s="15">
        <f t="shared" si="54"/>
        <v>0</v>
      </c>
      <c r="BE25" s="15">
        <f t="shared" si="54"/>
        <v>0</v>
      </c>
      <c r="BF25" s="15">
        <f t="shared" si="54"/>
        <v>0</v>
      </c>
      <c r="BG25" s="6"/>
      <c r="BH25" s="56"/>
      <c r="BI25" s="1" t="s">
        <v>397</v>
      </c>
      <c r="BJ25" s="1" t="s">
        <v>585</v>
      </c>
      <c r="BK25" s="1" t="s">
        <v>585</v>
      </c>
      <c r="BM25" s="56" t="s">
        <v>586</v>
      </c>
      <c r="BR25" s="15" t="s">
        <v>60</v>
      </c>
      <c r="BS25" s="5" t="s">
        <v>587</v>
      </c>
      <c r="BT25" s="4"/>
      <c r="BU25" t="s">
        <v>32</v>
      </c>
      <c r="BV25" s="8" t="s">
        <v>60</v>
      </c>
      <c r="BW25" s="5" t="s">
        <v>588</v>
      </c>
      <c r="BZ25" s="8" t="s">
        <v>60</v>
      </c>
      <c r="CA25" s="5" t="s">
        <v>589</v>
      </c>
      <c r="CD25" s="8" t="s">
        <v>60</v>
      </c>
      <c r="CE25" s="5" t="s">
        <v>590</v>
      </c>
      <c r="CG25" s="8" t="s">
        <v>60</v>
      </c>
      <c r="CH25" s="5" t="s">
        <v>591</v>
      </c>
      <c r="CJ25"/>
      <c r="CK25" s="90"/>
      <c r="CS25" s="157"/>
      <c r="CT25" s="70"/>
      <c r="CU25"/>
      <c r="DB25" s="13" t="s">
        <v>53</v>
      </c>
      <c r="DC25" s="16" t="str">
        <f t="shared" si="2"/>
        <v>Floor.13x14 Floor Tom</v>
      </c>
      <c r="DD25" s="4" t="s">
        <v>592</v>
      </c>
      <c r="DE25" s="69" t="str">
        <f t="shared" si="3"/>
        <v>MLLCLL</v>
      </c>
      <c r="DF25" s="13" t="s">
        <v>78</v>
      </c>
      <c r="DG25" s="13" t="s">
        <v>79</v>
      </c>
      <c r="DH25" s="13" t="s">
        <v>69</v>
      </c>
      <c r="DI25" s="13"/>
      <c r="DK25" s="13"/>
      <c r="DL25" s="13"/>
      <c r="DM25" s="13"/>
      <c r="DN25" s="13"/>
      <c r="DR25" s="24"/>
      <c r="DS25" s="66"/>
      <c r="DW25" t="s">
        <v>593</v>
      </c>
      <c r="DX25" s="66" t="s">
        <v>86</v>
      </c>
      <c r="DY25" s="10" t="s">
        <v>87</v>
      </c>
      <c r="DZ25" s="13" t="s">
        <v>89</v>
      </c>
      <c r="EA25" s="13"/>
      <c r="EB25" s="13"/>
      <c r="EC25" s="16"/>
      <c r="ED25" s="26"/>
      <c r="EE25" s="26"/>
      <c r="EF25" s="24"/>
      <c r="EH25" s="24"/>
      <c r="EI25" s="24" t="s">
        <v>356</v>
      </c>
      <c r="EJ25" s="24"/>
      <c r="EK25" s="24"/>
      <c r="EL25" s="24"/>
      <c r="EM25" s="24"/>
      <c r="EN25" s="24"/>
      <c r="EO25" s="24"/>
      <c r="EP25" s="24"/>
      <c r="EQ25" s="24"/>
      <c r="ER25" s="24"/>
      <c r="ES25" s="24" t="s">
        <v>53</v>
      </c>
      <c r="ET25" t="b">
        <f>IF($C$2="Classic Oak","Double 45",IF(OR($C$2="Legacy Exotic",$C$2="Legacy Mahogany",$C$2="Legacy Maple"),"Legacy Edges",IF($C$2="Classic Maple", IF($G$41="","Single 45",$G$41))))</f>
        <v>0</v>
      </c>
      <c r="EU25" s="26"/>
      <c r="EX25" s="27"/>
      <c r="EY25" s="18"/>
      <c r="FA25" s="69"/>
      <c r="FB25" s="206"/>
      <c r="FC25" s="43"/>
      <c r="FD25" s="4"/>
      <c r="FE25" s="4"/>
      <c r="FF25" s="99"/>
      <c r="FK25" s="73">
        <v>25</v>
      </c>
      <c r="FL25" s="13" t="str">
        <f t="shared" si="60"/>
        <v>Option Hoop Named Range</v>
      </c>
      <c r="FM25" s="7" t="e">
        <f t="shared" si="61"/>
        <v>#N/A</v>
      </c>
      <c r="FN25" s="13"/>
      <c r="FO25" s="7" t="str">
        <f t="shared" si="62"/>
        <v>Front Head</v>
      </c>
      <c r="FP25" t="str">
        <f t="shared" si="55"/>
        <v>Smth White w/Logo</v>
      </c>
      <c r="FQ25" t="str">
        <f t="shared" si="59"/>
        <v>Change to</v>
      </c>
      <c r="FR25">
        <f t="shared" si="59"/>
        <v>0</v>
      </c>
      <c r="FU25" t="s">
        <v>594</v>
      </c>
      <c r="GC25" s="50"/>
      <c r="GE25" s="121"/>
      <c r="GG25" s="13" t="s">
        <v>545</v>
      </c>
      <c r="GS25" s="58" t="s">
        <v>595</v>
      </c>
      <c r="GT25" s="89" t="str">
        <f>IF(AND($B$8="Snare",$G$44 &lt;&gt;""), $G$44, IF($B$8="Snare", $E$44,""))</f>
        <v/>
      </c>
      <c r="GU25" s="89" t="str">
        <f>IF(AND($B$9="Snare",$G$44 &lt;&gt;""), $G$44, IF($B$9="Snare", $E$44,""))</f>
        <v/>
      </c>
      <c r="GV25" s="89" t="str">
        <f>IF(AND($B$10="Snare",$G$44 &lt;&gt;""), $G$44, IF($B$10="Snare", $E$44,""))</f>
        <v/>
      </c>
      <c r="GW25" s="89" t="str">
        <f>IF(AND($B$11="Snare",$G$44 &lt;&gt;""), $G$44, IF($B$11="Snare", $E$44,""))</f>
        <v/>
      </c>
      <c r="GX25" s="89" t="str">
        <f>IF(AND($B$12="Snare",$G$44 &lt;&gt;""), $G$44, IF($B$12="Snare", $E$44,""))</f>
        <v/>
      </c>
      <c r="GY25" s="89" t="str">
        <f>IF(AND($B$13="Snare",$G$44 &lt;&gt;""), $G$44, IF($B$13="Snare", $E$44,""))</f>
        <v/>
      </c>
      <c r="GZ25" s="89" t="str">
        <f>IF(AND($B$14="Snare",$G$44 &lt;&gt;""), $G$44, IF($B$14="Snare", $E$44,""))</f>
        <v/>
      </c>
      <c r="HA25" s="64" t="str">
        <f>IF(AND($B$15="Snare",$G$44 &lt;&gt;""), $G$44, IF($B$15="Snare", $E$44,""))</f>
        <v/>
      </c>
      <c r="HB25" s="64" t="str">
        <f>IF(AND($B$16="Snare",$G$44 &lt;&gt;""), $G$44, IF($B$16="Snare", $E$44,""))</f>
        <v/>
      </c>
      <c r="HC25" s="64" t="str">
        <f>IF(AND($B$17="Snare",$G$44 &lt;&gt;""), $G$44, IF($B$17="Snare", $E$44,""))</f>
        <v/>
      </c>
      <c r="HD25" s="64" t="str">
        <f>IF(AND($B$18="Snare",$G$44 &lt;&gt;""), $G$44, IF($B$18="Snare", $E$44,""))</f>
        <v/>
      </c>
      <c r="HE25" s="64" t="str">
        <f>IF(AND($B$19="Snare",$G$44 &lt;&gt;""), $G$44, IF($B$19="Snare", $E$44,""))</f>
        <v/>
      </c>
      <c r="HF25" s="64" t="str">
        <f>IF(AND($B$20="Snare",$G$44 &lt;&gt;""), $G$44, IF($B$20="Snare", $E$44,""))</f>
        <v/>
      </c>
    </row>
    <row r="26" spans="1:215" ht="15.6" x14ac:dyDescent="0.3">
      <c r="A26" s="28" t="s">
        <v>596</v>
      </c>
      <c r="B26" s="28" t="str">
        <f>IF( OR(G22="Satin Sable w/Accent", G22 = "Satin Natural w/Accent", G22 = "Full Width Accent", G22 = "Sable Black w/Accent", G22 = "Natural w/Accent", G22 = "Matching Hoop w/Inlay", AND(E22 = "Satin Natural w/Accent",G22=""),AND(E22 = "Satin Sable w/Accent",G22 = "")),"Wraps","Naturals")</f>
        <v>Naturals</v>
      </c>
      <c r="C26" s="50"/>
      <c r="D26" s="30" t="s">
        <v>597</v>
      </c>
      <c r="E26" s="13" t="s">
        <v>598</v>
      </c>
      <c r="F26" s="13" t="s">
        <v>599</v>
      </c>
      <c r="H26" s="43"/>
      <c r="J26" s="150"/>
      <c r="K26" s="43"/>
      <c r="L26" s="148"/>
      <c r="M26" s="32"/>
      <c r="N26" s="188"/>
      <c r="O26" s="222" t="e">
        <f t="shared" si="56"/>
        <v>#N/A</v>
      </c>
      <c r="P26" s="195">
        <f t="shared" si="57"/>
        <v>0</v>
      </c>
      <c r="Q26" s="195">
        <f t="shared" si="58"/>
        <v>0</v>
      </c>
      <c r="R26" s="190"/>
      <c r="S26" s="76"/>
      <c r="U26" s="76"/>
      <c r="V26" s="76"/>
      <c r="W26" s="76"/>
      <c r="X26" s="215">
        <f ca="1">SUM(X22:X25)</f>
        <v>0</v>
      </c>
      <c r="Y26" s="11" t="s">
        <v>600</v>
      </c>
      <c r="AG26" s="56" t="s">
        <v>475</v>
      </c>
      <c r="AH26" s="66" t="s">
        <v>113</v>
      </c>
      <c r="AI26" s="26" t="s">
        <v>114</v>
      </c>
      <c r="AJ26" s="104" t="s">
        <v>115</v>
      </c>
      <c r="AK26" s="105" t="s">
        <v>475</v>
      </c>
      <c r="AL26" s="6"/>
      <c r="AN26" s="6"/>
      <c r="AO26" s="6" t="s">
        <v>601</v>
      </c>
      <c r="AP26" s="6"/>
      <c r="AQ26" s="6"/>
      <c r="AR26" s="6"/>
      <c r="AT26" s="90" t="s">
        <v>602</v>
      </c>
      <c r="AU26" s="15">
        <f t="shared" si="54"/>
        <v>121</v>
      </c>
      <c r="AV26" s="15">
        <f t="shared" si="54"/>
        <v>121</v>
      </c>
      <c r="AW26" s="15">
        <f t="shared" si="54"/>
        <v>121</v>
      </c>
      <c r="AX26" s="15">
        <f t="shared" si="54"/>
        <v>0</v>
      </c>
      <c r="AY26" s="15">
        <f t="shared" si="54"/>
        <v>0</v>
      </c>
      <c r="AZ26" s="15">
        <f t="shared" si="54"/>
        <v>404</v>
      </c>
      <c r="BA26" s="15">
        <f t="shared" si="54"/>
        <v>0</v>
      </c>
      <c r="BB26" s="15">
        <f t="shared" si="54"/>
        <v>0</v>
      </c>
      <c r="BC26" s="15">
        <f t="shared" si="54"/>
        <v>0</v>
      </c>
      <c r="BD26" s="15">
        <f t="shared" si="54"/>
        <v>0</v>
      </c>
      <c r="BE26" s="15">
        <f t="shared" si="54"/>
        <v>0</v>
      </c>
      <c r="BF26" s="15">
        <f t="shared" si="54"/>
        <v>0</v>
      </c>
      <c r="BG26" s="6"/>
      <c r="BH26" s="56"/>
      <c r="BI26" s="1" t="s">
        <v>411</v>
      </c>
      <c r="BJ26" s="1" t="s">
        <v>603</v>
      </c>
      <c r="BK26" s="56" t="s">
        <v>618</v>
      </c>
      <c r="BM26" s="1" t="s">
        <v>570</v>
      </c>
      <c r="BP26" s="4" t="s">
        <v>573</v>
      </c>
      <c r="BQ26" s="4"/>
      <c r="BR26" s="6" t="str">
        <f t="shared" ref="BR26:BR35" si="63">$BS$1&amp;" "&amp;BS26</f>
        <v>Classic Maple 12x14 Floor Tom</v>
      </c>
      <c r="BS26" s="4" t="s">
        <v>573</v>
      </c>
      <c r="BT26" s="71"/>
      <c r="BU26" s="4"/>
      <c r="BV26" s="6" t="str">
        <f t="shared" ref="BV26:BV35" si="64">BW$1&amp;" "&amp;BW26</f>
        <v>Legacy Maple 12x14 Floor Tom</v>
      </c>
      <c r="BW26" s="4" t="s">
        <v>573</v>
      </c>
      <c r="BX26" s="67"/>
      <c r="BY26" s="4"/>
      <c r="BZ26" s="6" t="str">
        <f>CA$1&amp;" "&amp;CA26</f>
        <v>Legacy Mahogany 12x14 Floor Tom</v>
      </c>
      <c r="CA26" s="4" t="s">
        <v>573</v>
      </c>
      <c r="CB26" s="67"/>
      <c r="CC26" s="4"/>
      <c r="CD26" s="6" t="str">
        <f t="shared" ref="CD26:CD35" si="65">CE$1&amp;" "&amp;CE26</f>
        <v>Legacy Exotic 12x14 Floor Tom</v>
      </c>
      <c r="CE26" s="4" t="s">
        <v>573</v>
      </c>
      <c r="CF26" s="70"/>
      <c r="CG26" s="23" t="s">
        <v>583</v>
      </c>
      <c r="CH26" s="4" t="s">
        <v>573</v>
      </c>
      <c r="CI26" s="70"/>
      <c r="CJ26" s="4"/>
      <c r="CK26" s="90"/>
      <c r="CL26" s="157"/>
      <c r="CM26" s="157"/>
      <c r="CN26" s="157"/>
      <c r="CO26" s="157"/>
      <c r="CP26" s="157"/>
      <c r="CS26" s="157"/>
      <c r="CT26" s="70"/>
      <c r="CU26" s="4">
        <f t="shared" ref="CU26:CU35" si="66">CJ26</f>
        <v>0</v>
      </c>
      <c r="CV26" s="93" t="s">
        <v>604</v>
      </c>
      <c r="CW26" s="93" t="s">
        <v>605</v>
      </c>
      <c r="CX26" s="93" t="s">
        <v>606</v>
      </c>
      <c r="CY26" s="93" t="s">
        <v>607</v>
      </c>
      <c r="CZ26" s="93" t="s">
        <v>608</v>
      </c>
      <c r="DA26" s="70"/>
      <c r="DB26" s="13" t="s">
        <v>53</v>
      </c>
      <c r="DC26" s="16" t="str">
        <f t="shared" si="2"/>
        <v>Floor.13x15 Floor Tom</v>
      </c>
      <c r="DD26" s="4" t="s">
        <v>609</v>
      </c>
      <c r="DE26" s="69" t="str">
        <f t="shared" si="3"/>
        <v>MLLCLL</v>
      </c>
      <c r="DF26" s="13" t="s">
        <v>78</v>
      </c>
      <c r="DG26" s="13" t="s">
        <v>79</v>
      </c>
      <c r="DH26" s="13" t="s">
        <v>69</v>
      </c>
      <c r="DI26" s="13"/>
      <c r="DK26" s="13"/>
      <c r="DL26" s="13"/>
      <c r="DM26" s="13"/>
      <c r="DN26" s="13"/>
      <c r="DR26" s="32"/>
      <c r="DS26" s="66"/>
      <c r="DW26" t="s">
        <v>610</v>
      </c>
      <c r="DX26" s="66">
        <f>CS104</f>
        <v>0</v>
      </c>
      <c r="DY26" s="71" t="s">
        <v>71</v>
      </c>
      <c r="DZ26" s="13">
        <v>9</v>
      </c>
      <c r="EA26" s="13"/>
      <c r="EB26" s="13"/>
      <c r="EC26" s="16"/>
      <c r="ED26" s="26"/>
      <c r="EE26" s="26"/>
      <c r="EF26" s="24"/>
      <c r="EH26" s="24"/>
      <c r="EI26" s="24" t="s">
        <v>374</v>
      </c>
      <c r="EJ26" s="24"/>
      <c r="EK26" s="24"/>
      <c r="EL26" s="24"/>
      <c r="EM26" s="24"/>
      <c r="EN26" s="24"/>
      <c r="EO26" s="24"/>
      <c r="EP26" s="24"/>
      <c r="EQ26" s="24"/>
      <c r="ER26" s="24"/>
      <c r="ES26" s="24" t="s">
        <v>55</v>
      </c>
      <c r="ET26" t="b">
        <f>IF($C$2="Classic Oak","Double 45",IF(OR($C$2="Legacy Exotic",$C$2="Legacy Mahogany",$C$2="Legacy Maple"),"Legacy Edges",IF($C$2="Classic Maple", IF(G49="","Single 45",G49))))</f>
        <v>0</v>
      </c>
      <c r="EU26" s="26"/>
      <c r="EX26" s="27"/>
      <c r="EY26" s="18"/>
      <c r="FA26" s="69"/>
      <c r="FB26" s="34"/>
      <c r="FD26" s="14" t="s">
        <v>611</v>
      </c>
      <c r="FE26" s="69" t="str">
        <f>IFERROR(INDEX(FB37:FH57,MATCH(CONCATENATE(FC22,".",FB22,".",FD22),FB37:FB57,0),7),"Spurs_FN")</f>
        <v>Spurs_FN</v>
      </c>
      <c r="FK26" s="73">
        <v>26</v>
      </c>
      <c r="FL26" s="13" t="str">
        <f t="shared" si="60"/>
        <v>Option inlay range</v>
      </c>
      <c r="FM26" s="7" t="str">
        <f t="shared" si="61"/>
        <v>Naturals</v>
      </c>
      <c r="FN26" s="13"/>
      <c r="FO26" s="7" t="str">
        <f t="shared" si="62"/>
        <v>Batter Head</v>
      </c>
      <c r="FP26" t="str">
        <f t="shared" si="55"/>
        <v>Clear PS3</v>
      </c>
      <c r="FQ26" t="str">
        <f t="shared" si="59"/>
        <v>No Option</v>
      </c>
      <c r="FR26">
        <f t="shared" si="59"/>
        <v>0</v>
      </c>
      <c r="FU26" t="s">
        <v>612</v>
      </c>
      <c r="GC26" s="50"/>
      <c r="GE26" s="121"/>
      <c r="GG26" s="13" t="s">
        <v>613</v>
      </c>
      <c r="GS26" s="58" t="s">
        <v>41</v>
      </c>
      <c r="GT26" s="89" t="str">
        <f>IF(AND($B$8="Snare",$G$50 &lt;&gt;""), $G$50, IF($B$8="Snare", $E$50,""))</f>
        <v/>
      </c>
      <c r="GU26" s="89" t="str">
        <f>IF(AND($B$9="Snare",$G$50 &lt;&gt;""), $G$50, IF($B$9="Snare", $E$50,""))</f>
        <v/>
      </c>
      <c r="GV26" s="89" t="str">
        <f>IF(AND($B$10="Snare",$G$50 &lt;&gt;""), $G$50, IF($B$10="Snare", $E$50,""))</f>
        <v/>
      </c>
      <c r="GW26" s="89" t="str">
        <f>IF(AND($B$11="Snare",$G$50 &lt;&gt;""), $G$50, IF($B$11="Snare", $E$50,""))</f>
        <v/>
      </c>
      <c r="GX26" s="89" t="str">
        <f>IF(AND($B$12="Snare",$G$50 &lt;&gt;""), $G$50, IF($B$12="Snare", $E$50,""))</f>
        <v/>
      </c>
      <c r="GY26" s="89" t="str">
        <f>IF(AND($B$13="Snare",$G$50 &lt;&gt;""), $G$50, IF($B$13="Snare", $E$50,""))</f>
        <v/>
      </c>
      <c r="GZ26" s="89" t="str">
        <f>IF(AND($B$14="Snare",$G$50 &lt;&gt;""), $G$50, IF($B$14="Snare", $E$50,""))</f>
        <v/>
      </c>
      <c r="HA26" s="64" t="str">
        <f>IF(AND($B$15="Snare",$G$50 &lt;&gt;""), $G$50, IF($B$15="Snare", $E$50,""))</f>
        <v/>
      </c>
      <c r="HB26" s="64" t="str">
        <f>IF(AND($B$16="Snare",$G$50 &lt;&gt;""), $G$50, IF($B$16="Snare", $E$50,""))</f>
        <v/>
      </c>
      <c r="HC26" s="64" t="str">
        <f>IF(AND($B$17="Snare",$G$50 &lt;&gt;""), $G$50, IF($B$17="Snare", $E$50,""))</f>
        <v/>
      </c>
      <c r="HD26" s="64" t="str">
        <f>IF(AND($B$18="Snare",$G$50 &lt;&gt;""), $G$50, IF($B$18="Snare", $E$50,""))</f>
        <v/>
      </c>
      <c r="HE26" s="64" t="str">
        <f>IF(AND($B$19="Snare",$G$50 &lt;&gt;""), $G$50, IF($B$19="Snare", $E$50,""))</f>
        <v/>
      </c>
      <c r="HF26" s="64" t="str">
        <f>IF(AND($B$20="Snare",$G$50 &lt;&gt;""), $G$50, IF($B$20="Snare", $E$50,""))</f>
        <v/>
      </c>
    </row>
    <row r="27" spans="1:215" ht="15.6" x14ac:dyDescent="0.3">
      <c r="A27" s="29"/>
      <c r="B27" s="28" t="str">
        <f>IF( OR(ISNUMBER(SEARCH("Accent",$G$22))=TRUE, (ISNUMBER(SEARCH("ing Hoop with In",G23))=TRUE)),"Get the List","Nothing to do")</f>
        <v>Nothing to do</v>
      </c>
      <c r="C27" s="50"/>
      <c r="D27" s="30" t="s">
        <v>614</v>
      </c>
      <c r="E27" s="13" t="s">
        <v>615</v>
      </c>
      <c r="F27" s="13" t="str">
        <f>IF(EW21&gt;0,"No Option", "Change to")</f>
        <v>Change to</v>
      </c>
      <c r="G27" s="115"/>
      <c r="H27" s="130" t="str">
        <f>IF($G$27="","",IF(ISERROR(MATCH($G$27,bd_screws,0))=FALSE,"","Invalid Selection"))</f>
        <v/>
      </c>
      <c r="J27" s="150"/>
      <c r="K27" s="43"/>
      <c r="L27" s="151"/>
      <c r="M27" s="32"/>
      <c r="N27" s="188"/>
      <c r="O27" s="222" t="e">
        <f t="shared" si="56"/>
        <v>#N/A</v>
      </c>
      <c r="P27" s="195">
        <f t="shared" si="57"/>
        <v>0</v>
      </c>
      <c r="Q27" s="195">
        <f t="shared" si="58"/>
        <v>0</v>
      </c>
      <c r="R27" s="190"/>
      <c r="S27" s="173"/>
      <c r="T27" s="173"/>
      <c r="U27" s="173"/>
      <c r="V27" s="173"/>
      <c r="W27" s="173"/>
      <c r="X27" s="173"/>
      <c r="AG27" s="56" t="s">
        <v>492</v>
      </c>
      <c r="AH27" s="66" t="s">
        <v>113</v>
      </c>
      <c r="AI27" s="26" t="s">
        <v>114</v>
      </c>
      <c r="AJ27" s="104" t="s">
        <v>115</v>
      </c>
      <c r="AK27" s="105" t="s">
        <v>492</v>
      </c>
      <c r="AL27" s="6"/>
      <c r="AN27" s="6"/>
      <c r="AO27" s="6"/>
      <c r="AP27" s="6"/>
      <c r="AQ27" s="6"/>
      <c r="AR27" s="6"/>
      <c r="AT27" s="90" t="s">
        <v>616</v>
      </c>
      <c r="AU27" s="15">
        <f t="shared" si="54"/>
        <v>121</v>
      </c>
      <c r="AV27" s="15">
        <f t="shared" si="54"/>
        <v>121</v>
      </c>
      <c r="AW27" s="15">
        <f t="shared" si="54"/>
        <v>121</v>
      </c>
      <c r="AX27" s="15">
        <f t="shared" si="54"/>
        <v>0</v>
      </c>
      <c r="AY27" s="15">
        <f t="shared" si="54"/>
        <v>0</v>
      </c>
      <c r="AZ27" s="15">
        <f t="shared" si="54"/>
        <v>404</v>
      </c>
      <c r="BA27" s="15">
        <f t="shared" si="54"/>
        <v>0</v>
      </c>
      <c r="BB27" s="15">
        <f t="shared" si="54"/>
        <v>0</v>
      </c>
      <c r="BC27" s="15">
        <f t="shared" si="54"/>
        <v>0</v>
      </c>
      <c r="BD27" s="15">
        <f t="shared" si="54"/>
        <v>0</v>
      </c>
      <c r="BE27" s="15">
        <f t="shared" si="54"/>
        <v>0</v>
      </c>
      <c r="BF27" s="15">
        <f t="shared" si="54"/>
        <v>0</v>
      </c>
      <c r="BG27" s="6"/>
      <c r="BH27" s="56"/>
      <c r="BI27" s="1" t="s">
        <v>363</v>
      </c>
      <c r="BJ27" s="1" t="s">
        <v>617</v>
      </c>
      <c r="BK27" s="1" t="s">
        <v>603</v>
      </c>
      <c r="BM27" s="1" t="s">
        <v>585</v>
      </c>
      <c r="BP27" s="4" t="s">
        <v>592</v>
      </c>
      <c r="BQ27" s="4"/>
      <c r="BR27" s="6" t="str">
        <f t="shared" si="63"/>
        <v>Classic Maple 13x14 Floor Tom</v>
      </c>
      <c r="BS27" s="4" t="s">
        <v>592</v>
      </c>
      <c r="BT27" s="71"/>
      <c r="BU27" s="4"/>
      <c r="BV27" s="6" t="str">
        <f t="shared" si="64"/>
        <v>Legacy Maple 13x14 Floor Tom</v>
      </c>
      <c r="BW27" s="4" t="s">
        <v>592</v>
      </c>
      <c r="BX27" s="67"/>
      <c r="BY27" s="4"/>
      <c r="BZ27" s="6" t="str">
        <f t="shared" ref="BZ27:BZ35" si="67">CA$1&amp;" "&amp;CA27</f>
        <v>Legacy Mahogany 13x14 Floor Tom</v>
      </c>
      <c r="CA27" s="4" t="s">
        <v>592</v>
      </c>
      <c r="CB27" s="67"/>
      <c r="CC27" s="4"/>
      <c r="CD27" s="6" t="str">
        <f t="shared" si="65"/>
        <v>Legacy Exotic 13x14 Floor Tom</v>
      </c>
      <c r="CE27" s="4" t="s">
        <v>592</v>
      </c>
      <c r="CF27" s="70"/>
      <c r="CG27" s="23" t="s">
        <v>602</v>
      </c>
      <c r="CH27" s="4" t="s">
        <v>592</v>
      </c>
      <c r="CI27" s="70"/>
      <c r="CJ27" s="4"/>
      <c r="CK27" s="90"/>
      <c r="CL27" s="157"/>
      <c r="CM27" s="157"/>
      <c r="CN27" s="157"/>
      <c r="CO27" s="157"/>
      <c r="CP27" s="157"/>
      <c r="CS27" s="157"/>
      <c r="CT27" s="70"/>
      <c r="CU27" s="4">
        <f t="shared" si="66"/>
        <v>0</v>
      </c>
      <c r="CV27" s="93" t="s">
        <v>619</v>
      </c>
      <c r="CW27" s="93" t="s">
        <v>620</v>
      </c>
      <c r="CX27" s="93" t="s">
        <v>621</v>
      </c>
      <c r="CY27" s="93" t="s">
        <v>622</v>
      </c>
      <c r="CZ27" s="93" t="s">
        <v>623</v>
      </c>
      <c r="DA27" s="70"/>
      <c r="DB27" s="13" t="s">
        <v>53</v>
      </c>
      <c r="DC27" s="16" t="str">
        <f t="shared" si="2"/>
        <v>Floor.13x16 Floor tom</v>
      </c>
      <c r="DD27" s="4" t="s">
        <v>624</v>
      </c>
      <c r="DE27" s="69" t="str">
        <f t="shared" si="3"/>
        <v>MLLCLL</v>
      </c>
      <c r="DF27" s="13" t="s">
        <v>78</v>
      </c>
      <c r="DG27" s="13" t="s">
        <v>79</v>
      </c>
      <c r="DH27" s="13" t="s">
        <v>69</v>
      </c>
      <c r="DI27" s="13"/>
      <c r="DK27" s="13"/>
      <c r="DL27" s="13"/>
      <c r="DM27" s="13"/>
      <c r="DN27" s="13"/>
      <c r="DR27" s="32"/>
      <c r="DS27" s="66"/>
      <c r="DW27" t="s">
        <v>625</v>
      </c>
      <c r="DX27" s="66">
        <f>CS105</f>
        <v>0</v>
      </c>
      <c r="DY27" s="71" t="s">
        <v>143</v>
      </c>
      <c r="DZ27" s="13">
        <v>0</v>
      </c>
      <c r="EA27" s="13"/>
      <c r="EB27" s="13"/>
      <c r="EC27" s="16"/>
      <c r="ED27" s="26"/>
      <c r="EE27" s="26"/>
      <c r="EF27" s="24"/>
      <c r="EH27" s="24"/>
      <c r="EI27" s="24" t="s">
        <v>304</v>
      </c>
      <c r="EJ27" s="24"/>
      <c r="EK27" s="24"/>
      <c r="EL27" s="24"/>
      <c r="EM27" s="24"/>
      <c r="EN27" s="24"/>
      <c r="EO27" s="24"/>
      <c r="EP27" s="24"/>
      <c r="EQ27" s="24"/>
      <c r="ER27" s="24"/>
      <c r="ES27" s="24"/>
      <c r="EU27" s="26"/>
      <c r="EX27" s="27"/>
      <c r="EY27" s="18"/>
      <c r="FA27" s="69"/>
      <c r="FD27" t="s">
        <v>544</v>
      </c>
      <c r="FE27" s="10" t="str">
        <f>IFERROR(INDEX(FB37:FI57,MATCH(CONCATENATE(FC22,".",FB22,".",FD22),FB37:FB57,0),8),"Elite Kick Style")</f>
        <v>Elite Kick Style</v>
      </c>
      <c r="FK27" s="73">
        <v>27</v>
      </c>
      <c r="FL27" s="13">
        <f t="shared" si="60"/>
        <v>0</v>
      </c>
      <c r="FM27" s="7" t="str">
        <f t="shared" si="61"/>
        <v>Nothing to do</v>
      </c>
      <c r="FN27" s="13"/>
      <c r="FO27" s="7" t="str">
        <f t="shared" si="62"/>
        <v>Tension Rods</v>
      </c>
      <c r="FP27" t="str">
        <f t="shared" si="55"/>
        <v>Keyrods</v>
      </c>
      <c r="FQ27" t="str">
        <f t="shared" si="59"/>
        <v>Change to</v>
      </c>
      <c r="FR27">
        <f t="shared" si="59"/>
        <v>0</v>
      </c>
      <c r="GC27" s="50" t="s">
        <v>626</v>
      </c>
      <c r="GE27" s="121"/>
      <c r="GH27" s="13"/>
      <c r="GS27" s="58" t="s">
        <v>627</v>
      </c>
      <c r="GT27" s="126" t="str">
        <f>IF(AND($B$8="Snare",$G$46 &lt;&gt;""), $G$46, IF($B$8="Snare", $E$46,""))</f>
        <v/>
      </c>
      <c r="GU27" s="126" t="str">
        <f>IF(AND($B$9="Snare",$G$46 &lt;&gt;""), $G$46, IF($B$9="Snare", $E$46,""))</f>
        <v/>
      </c>
      <c r="GV27" s="126" t="str">
        <f>IF(AND($B$10="Snare",$G$46 &lt;&gt;""), $G$46, IF($B$10="Snare", $E$46,""))</f>
        <v/>
      </c>
      <c r="GW27" s="126" t="str">
        <f>IF(AND($B$11="Snare",$G$46 &lt;&gt;""), $G$46, IF($B$11="Snare", $E$46,""))</f>
        <v/>
      </c>
      <c r="GX27" s="126" t="str">
        <f>IF(AND($B$12="Snare",$G$46 &lt;&gt;""), $G$46, IF($B$12="Snare", $E$46,""))</f>
        <v/>
      </c>
      <c r="GY27" s="126" t="str">
        <f>IF(AND($B$13="Snare",$G$46 &lt;&gt;""), $G$46, IF($B$13="Snare", $E$46,""))</f>
        <v/>
      </c>
      <c r="GZ27" s="126" t="str">
        <f>IF(AND($B$14="Snare",$G$46 &lt;&gt;""), $G$46, IF($B$14="Snare", $E$46,""))</f>
        <v/>
      </c>
      <c r="HA27" s="127" t="str">
        <f>IF(AND($B$15="Snare",$G$46 &lt;&gt;""), $G$46, IF($B$15="Snare", $E$46,""))</f>
        <v/>
      </c>
      <c r="HB27" s="127" t="str">
        <f>IF(AND($B$16="Snare",$G$46 &lt;&gt;""), $G$46, IF($B$16="Snare", $E$46,""))</f>
        <v/>
      </c>
      <c r="HC27" s="127" t="str">
        <f>IF(AND($B$17="Snare",$G$46 &lt;&gt;""), $G$46, IF($B$17="Snare", $E$46,""))</f>
        <v/>
      </c>
      <c r="HD27" s="127" t="str">
        <f>IF(AND($B$18="Snare",$G$46 &lt;&gt;""), $G$46, IF($B$18="Snare", $E$46,""))</f>
        <v/>
      </c>
      <c r="HE27" s="127" t="str">
        <f>IF(AND($B$19="Snare",$G$46 &lt;&gt;""), $G$46, IF($B$19="Snare", $E$46,""))</f>
        <v/>
      </c>
      <c r="HF27" s="127" t="str">
        <f>IF(AND($B$20="Snare",$G$46 &lt;&gt;""), $G$46, IF($B$20="Snare", $E$46,""))</f>
        <v/>
      </c>
    </row>
    <row r="28" spans="1:215" ht="16.2" thickBot="1" x14ac:dyDescent="0.35">
      <c r="A28" s="29"/>
      <c r="B28" s="28"/>
      <c r="C28" s="77"/>
      <c r="D28" s="30" t="s">
        <v>91</v>
      </c>
      <c r="E28" s="13" t="s">
        <v>628</v>
      </c>
      <c r="F28" s="13" t="str">
        <f>IF(EB17=0,"Change to","No Option")</f>
        <v>Change to</v>
      </c>
      <c r="G28" s="115"/>
      <c r="H28" s="130" t="str">
        <f ca="1">IF($G$28="","",IF(ISERROR(MATCH($G$28,INDIRECT(EC19),0))=FALSE,"","Invalid Selection"))</f>
        <v/>
      </c>
      <c r="J28" s="150"/>
      <c r="K28" s="43"/>
      <c r="L28" s="148"/>
      <c r="M28" s="32"/>
      <c r="N28" s="188"/>
      <c r="O28" s="222" t="e">
        <f t="shared" si="56"/>
        <v>#N/A</v>
      </c>
      <c r="P28" s="195">
        <f t="shared" si="57"/>
        <v>0</v>
      </c>
      <c r="Q28" s="195">
        <f t="shared" si="58"/>
        <v>0</v>
      </c>
      <c r="R28" s="190"/>
      <c r="T28" s="173"/>
      <c r="W28" s="173"/>
      <c r="X28" s="173"/>
      <c r="AG28" s="56" t="s">
        <v>629</v>
      </c>
      <c r="AH28" s="66" t="s">
        <v>113</v>
      </c>
      <c r="AI28" s="26" t="s">
        <v>114</v>
      </c>
      <c r="AJ28" s="104" t="s">
        <v>115</v>
      </c>
      <c r="AK28" s="105" t="s">
        <v>629</v>
      </c>
      <c r="AL28" s="6"/>
      <c r="AN28" s="6"/>
      <c r="AO28" s="6"/>
      <c r="AP28" s="6"/>
      <c r="AQ28" s="6"/>
      <c r="AR28" s="6"/>
      <c r="AT28" s="90" t="s">
        <v>630</v>
      </c>
      <c r="AU28" s="15">
        <f t="shared" si="54"/>
        <v>121</v>
      </c>
      <c r="AV28" s="15">
        <f t="shared" si="54"/>
        <v>121</v>
      </c>
      <c r="AW28" s="15">
        <f t="shared" si="54"/>
        <v>121</v>
      </c>
      <c r="AX28" s="15">
        <f t="shared" si="54"/>
        <v>0</v>
      </c>
      <c r="AY28" s="15">
        <f t="shared" si="54"/>
        <v>0</v>
      </c>
      <c r="AZ28" s="15">
        <f t="shared" si="54"/>
        <v>400</v>
      </c>
      <c r="BA28" s="15">
        <f t="shared" si="54"/>
        <v>0</v>
      </c>
      <c r="BB28" s="15">
        <f t="shared" si="54"/>
        <v>0</v>
      </c>
      <c r="BC28" s="15">
        <f t="shared" si="54"/>
        <v>0</v>
      </c>
      <c r="BD28" s="15">
        <f t="shared" si="54"/>
        <v>0</v>
      </c>
      <c r="BE28" s="15">
        <f t="shared" si="54"/>
        <v>0</v>
      </c>
      <c r="BF28" s="15">
        <f t="shared" si="54"/>
        <v>0</v>
      </c>
      <c r="BG28" s="6"/>
      <c r="BH28" s="56"/>
      <c r="BI28" s="1" t="s">
        <v>426</v>
      </c>
      <c r="BJ28" s="1" t="s">
        <v>631</v>
      </c>
      <c r="BK28" s="1" t="s">
        <v>617</v>
      </c>
      <c r="BM28" s="1" t="s">
        <v>603</v>
      </c>
      <c r="BP28" s="4" t="s">
        <v>632</v>
      </c>
      <c r="BQ28" s="4"/>
      <c r="BR28" s="6" t="str">
        <f t="shared" si="63"/>
        <v>Classic Maple 14x14 Floor Tom</v>
      </c>
      <c r="BS28" s="4" t="s">
        <v>632</v>
      </c>
      <c r="BT28" s="71"/>
      <c r="BU28" s="4"/>
      <c r="BV28" s="6" t="str">
        <f t="shared" si="64"/>
        <v>Legacy Maple 14x14 Floor Tom</v>
      </c>
      <c r="BW28" s="4" t="s">
        <v>632</v>
      </c>
      <c r="BX28" s="67"/>
      <c r="BY28" s="4"/>
      <c r="BZ28" s="6" t="str">
        <f t="shared" si="67"/>
        <v>Legacy Mahogany 14x14 Floor Tom</v>
      </c>
      <c r="CA28" s="4" t="s">
        <v>632</v>
      </c>
      <c r="CB28" s="67"/>
      <c r="CC28" s="4"/>
      <c r="CD28" s="6" t="str">
        <f t="shared" si="65"/>
        <v>Legacy Exotic 14x14 Floor Tom</v>
      </c>
      <c r="CE28" s="4" t="s">
        <v>632</v>
      </c>
      <c r="CF28" s="70"/>
      <c r="CG28" s="23" t="s">
        <v>616</v>
      </c>
      <c r="CH28" s="4" t="s">
        <v>632</v>
      </c>
      <c r="CI28" s="70"/>
      <c r="CJ28" s="4"/>
      <c r="CK28" s="90"/>
      <c r="CL28" s="157"/>
      <c r="CM28" s="157"/>
      <c r="CN28" s="157"/>
      <c r="CO28" s="157"/>
      <c r="CP28" s="157"/>
      <c r="CS28" s="157"/>
      <c r="CT28" s="70"/>
      <c r="CU28" s="4">
        <f t="shared" si="66"/>
        <v>0</v>
      </c>
      <c r="CV28" s="93" t="s">
        <v>633</v>
      </c>
      <c r="CW28" s="93" t="s">
        <v>634</v>
      </c>
      <c r="CX28" s="93" t="s">
        <v>635</v>
      </c>
      <c r="CY28" s="93" t="s">
        <v>636</v>
      </c>
      <c r="CZ28" s="93" t="s">
        <v>637</v>
      </c>
      <c r="DA28" s="70"/>
      <c r="DB28" s="13" t="s">
        <v>53</v>
      </c>
      <c r="DC28" s="16" t="str">
        <f t="shared" si="2"/>
        <v>Floor.14x14 Floor Tom</v>
      </c>
      <c r="DD28" s="4" t="s">
        <v>632</v>
      </c>
      <c r="DE28" s="69" t="str">
        <f t="shared" si="3"/>
        <v>MLLCLLLILT</v>
      </c>
      <c r="DF28" s="13" t="s">
        <v>78</v>
      </c>
      <c r="DG28" s="13" t="s">
        <v>79</v>
      </c>
      <c r="DH28" s="13" t="s">
        <v>69</v>
      </c>
      <c r="DI28" s="13" t="s">
        <v>80</v>
      </c>
      <c r="DJ28" s="13" t="s">
        <v>81</v>
      </c>
      <c r="DK28" s="13"/>
      <c r="DL28" s="13"/>
      <c r="DM28" s="13"/>
      <c r="DN28" s="13"/>
      <c r="DR28" s="32"/>
      <c r="DS28" s="66"/>
      <c r="DW28" t="s">
        <v>638</v>
      </c>
      <c r="DX28" s="66">
        <f>CS106</f>
        <v>0</v>
      </c>
      <c r="DY28" s="71" t="s">
        <v>639</v>
      </c>
      <c r="DZ28" s="13">
        <v>12</v>
      </c>
      <c r="EA28" s="13"/>
      <c r="EB28" s="13"/>
      <c r="EC28" s="16"/>
      <c r="ED28" s="26"/>
      <c r="EE28" s="26"/>
      <c r="EF28" s="24"/>
      <c r="EH28" s="24"/>
      <c r="EI28" s="24" t="s">
        <v>407</v>
      </c>
      <c r="EJ28" s="24"/>
      <c r="EK28" s="24"/>
      <c r="EL28" s="24"/>
      <c r="EM28" s="24"/>
      <c r="EN28" s="24"/>
      <c r="EO28" s="24"/>
      <c r="EP28" s="24"/>
      <c r="EQ28" s="24"/>
      <c r="ER28" s="24"/>
      <c r="ES28" s="24"/>
      <c r="EU28" s="26"/>
      <c r="EX28" s="27"/>
      <c r="EY28" s="18"/>
      <c r="FA28" s="69"/>
      <c r="FB28" s="205" t="s">
        <v>640</v>
      </c>
      <c r="FC28" s="100"/>
      <c r="FD28" s="101" t="s">
        <v>641</v>
      </c>
      <c r="FK28" s="73">
        <v>28</v>
      </c>
      <c r="FL28" s="13">
        <f t="shared" si="60"/>
        <v>0</v>
      </c>
      <c r="FM28" s="7">
        <f t="shared" si="61"/>
        <v>0</v>
      </c>
      <c r="FN28" s="13"/>
      <c r="FO28" s="7" t="str">
        <f t="shared" si="62"/>
        <v>Shell Mount</v>
      </c>
      <c r="FP28" t="str">
        <f t="shared" si="55"/>
        <v>None</v>
      </c>
      <c r="FQ28" t="str">
        <f t="shared" si="59"/>
        <v>Change to</v>
      </c>
      <c r="FR28">
        <f t="shared" si="59"/>
        <v>0</v>
      </c>
      <c r="FT28" s="71"/>
      <c r="FX28" t="s">
        <v>642</v>
      </c>
      <c r="GC28" s="50" t="s">
        <v>643</v>
      </c>
      <c r="GE28" s="121"/>
      <c r="GG28" s="14" t="s">
        <v>644</v>
      </c>
      <c r="GH28" s="90" t="str">
        <f>IF(GH21="Yes",GG31,GG32)</f>
        <v>sdBedNoChoice</v>
      </c>
      <c r="GI28" s="13"/>
      <c r="GS28" s="58" t="s">
        <v>645</v>
      </c>
      <c r="GT28" s="88" t="str">
        <f>IF($B$8="","",INDEX($Z$58:$AD$60,MATCH("Batter",$Z$58:$Z$60,0), MATCH($B$8,$Z$58:$AD$58,0)))</f>
        <v/>
      </c>
      <c r="GU28" s="88" t="str">
        <f>IF($B$9="","",INDEX($Z$58:$AD$60,MATCH("Batter",$Z$58:$Z$60,0), MATCH($B$9,$Z$58:$AD$58,0)))</f>
        <v/>
      </c>
      <c r="GV28" s="88" t="str">
        <f>IF($B$10="","",INDEX($Z$58:$AD$60,MATCH("Batter",$Z$58:$Z$60,0), MATCH($B$10,$Z$58:$AD$58,0)))</f>
        <v/>
      </c>
      <c r="GW28" s="88" t="str">
        <f>IF($B$11="","",INDEX($Z$58:$AD$60,MATCH("Batter",$Z$58:$Z$60,0), MATCH($B$11,$Z$58:$AD$58,0)))</f>
        <v/>
      </c>
      <c r="GX28" s="88" t="str">
        <f>IF($B$12="","",INDEX($Z$58:$AD$60,MATCH("Batter",$Z$58:$Z$60,0), MATCH($B$12,$Z$58:$AD$58,0)))</f>
        <v/>
      </c>
      <c r="GY28" s="88" t="str">
        <f>IF($B$13="","",INDEX($Z$58:$AD$60,MATCH("Batter",$Z$58:$Z$60,0), MATCH($B$13,$Z$58:$AD$58,0)))</f>
        <v/>
      </c>
      <c r="GZ28" s="88" t="str">
        <f>IF($B$14="","",INDEX($Z$58:$AD$60,MATCH("Batter",$Z$58:$Z$60,0), MATCH($B$14,$Z$58:$AD$58,0)))</f>
        <v/>
      </c>
      <c r="HA28" s="62" t="str">
        <f>IF($B$15="","",INDEX($Z$58:$AD$60,MATCH("Batter",$Z$58:$Z$60,0), MATCH($B$15,$Z$58:$AD$58,0)))</f>
        <v/>
      </c>
      <c r="HB28" s="62" t="str">
        <f>IF($B$16="","",INDEX($Z$58:$AD$60,MATCH("Batter",$Z$58:$Z$60,0), MATCH($B$16,$Z$58:$AD$58,0)))</f>
        <v/>
      </c>
      <c r="HC28" s="62" t="str">
        <f>IF($B$17="","",INDEX($Z$58:$AD$60,MATCH("Batter",$Z$58:$Z$60,0), MATCH($B$17,$Z$58:$AD$58,0)))</f>
        <v/>
      </c>
      <c r="HD28" s="62" t="str">
        <f>IF($B$18="","",INDEX($Z$58:$AD$60,MATCH("Batter",$Z$58:$Z$60,0), MATCH($B$18,$Z$58:$AD$58,0)))</f>
        <v/>
      </c>
      <c r="HE28" s="62" t="str">
        <f>IF($B$19="","",INDEX($Z$58:$AD$60,MATCH("Batter",$Z$58:$Z$60,0), MATCH($B$19,$Z$58:$AD$58,0)))</f>
        <v/>
      </c>
      <c r="HF28" s="62" t="str">
        <f>IF($B$20="","",INDEX($Z$58:$AD$60,MATCH("Batter",$Z$58:$Z$60,0), MATCH($B$20,$Z$58:$AD$58,0)))</f>
        <v/>
      </c>
    </row>
    <row r="29" spans="1:215" ht="16.2" thickBot="1" x14ac:dyDescent="0.35">
      <c r="A29" s="29"/>
      <c r="B29" s="28" t="e">
        <f>INDEX($ER$5:$ES$9,MATCH($C$2,$ER$5:$ER$9,0),2)</f>
        <v>#N/A</v>
      </c>
      <c r="C29" s="50"/>
      <c r="D29" s="30" t="s">
        <v>646</v>
      </c>
      <c r="E29" s="13" t="str">
        <f>IFERROR(INDEX($ER$5:$ET$9,MATCH($C$2,$ER$5:$ER$9,0),3),"")</f>
        <v/>
      </c>
      <c r="F29" s="13" t="str">
        <f>IF($C$2&lt;&gt;"Classic Maple","No Option","Change to")</f>
        <v>No Option</v>
      </c>
      <c r="G29" s="115"/>
      <c r="H29" s="130" t="str">
        <f ca="1">IF($G$29="","",IF(ISERROR(MATCH($G$29,INDIRECT(B29),0))=FALSE,"","Invalid Selection"))</f>
        <v/>
      </c>
      <c r="J29" s="1"/>
      <c r="K29" s="43"/>
      <c r="L29" s="148"/>
      <c r="M29" s="32"/>
      <c r="N29" s="188"/>
      <c r="O29" s="222" t="e">
        <f t="shared" si="56"/>
        <v>#N/A</v>
      </c>
      <c r="P29" s="195">
        <f t="shared" si="57"/>
        <v>0</v>
      </c>
      <c r="Q29" s="195">
        <f t="shared" si="58"/>
        <v>0</v>
      </c>
      <c r="R29" s="190"/>
      <c r="S29" s="173"/>
      <c r="T29" s="173"/>
      <c r="U29" s="173"/>
      <c r="V29" s="173"/>
      <c r="W29" s="173"/>
      <c r="X29" s="173"/>
      <c r="AG29" s="56" t="s">
        <v>510</v>
      </c>
      <c r="AH29" s="66" t="s">
        <v>113</v>
      </c>
      <c r="AI29" s="26" t="s">
        <v>114</v>
      </c>
      <c r="AJ29" s="104" t="s">
        <v>115</v>
      </c>
      <c r="AK29" s="105" t="s">
        <v>510</v>
      </c>
      <c r="AL29" s="6"/>
      <c r="AM29" s="4">
        <f>C3</f>
        <v>0</v>
      </c>
      <c r="AN29" s="6"/>
      <c r="AO29" s="6"/>
      <c r="AP29" s="6"/>
      <c r="AQ29" s="6"/>
      <c r="AR29" s="6"/>
      <c r="AT29" s="90" t="s">
        <v>647</v>
      </c>
      <c r="AU29" s="15">
        <f t="shared" si="54"/>
        <v>121</v>
      </c>
      <c r="AV29" s="15">
        <f t="shared" si="54"/>
        <v>121</v>
      </c>
      <c r="AW29" s="15">
        <f t="shared" si="54"/>
        <v>121</v>
      </c>
      <c r="AX29" s="15">
        <f t="shared" si="54"/>
        <v>0</v>
      </c>
      <c r="AY29" s="15">
        <f t="shared" si="54"/>
        <v>0</v>
      </c>
      <c r="AZ29" s="15">
        <f t="shared" si="54"/>
        <v>400</v>
      </c>
      <c r="BA29" s="15">
        <f t="shared" si="54"/>
        <v>0</v>
      </c>
      <c r="BB29" s="15">
        <f t="shared" si="54"/>
        <v>0</v>
      </c>
      <c r="BC29" s="15">
        <f t="shared" si="54"/>
        <v>0</v>
      </c>
      <c r="BD29" s="15">
        <f t="shared" si="54"/>
        <v>0</v>
      </c>
      <c r="BE29" s="15">
        <f t="shared" si="54"/>
        <v>0</v>
      </c>
      <c r="BF29" s="15">
        <f t="shared" si="54"/>
        <v>0</v>
      </c>
      <c r="BG29" s="6"/>
      <c r="BH29" s="56"/>
      <c r="BI29" s="1" t="s">
        <v>380</v>
      </c>
      <c r="BJ29" s="1" t="s">
        <v>648</v>
      </c>
      <c r="BK29" s="1" t="s">
        <v>631</v>
      </c>
      <c r="BM29" s="1" t="s">
        <v>617</v>
      </c>
      <c r="BP29" s="4" t="s">
        <v>609</v>
      </c>
      <c r="BQ29" s="4"/>
      <c r="BR29" s="6" t="str">
        <f t="shared" si="63"/>
        <v>Classic Maple 13x15 Floor Tom</v>
      </c>
      <c r="BS29" s="4" t="s">
        <v>609</v>
      </c>
      <c r="BT29" s="71"/>
      <c r="BU29" s="4"/>
      <c r="BV29" s="6" t="str">
        <f t="shared" si="64"/>
        <v>Legacy Maple 13x15 Floor Tom</v>
      </c>
      <c r="BW29" s="4" t="s">
        <v>609</v>
      </c>
      <c r="BX29" s="67"/>
      <c r="BY29" s="4"/>
      <c r="BZ29" s="6" t="str">
        <f t="shared" si="67"/>
        <v>Legacy Mahogany 13x15 Floor Tom</v>
      </c>
      <c r="CA29" s="4" t="s">
        <v>609</v>
      </c>
      <c r="CB29" s="67"/>
      <c r="CC29" s="4"/>
      <c r="CD29" s="6" t="str">
        <f t="shared" si="65"/>
        <v>Legacy Exotic 13x15 Floor Tom</v>
      </c>
      <c r="CE29" s="4" t="s">
        <v>609</v>
      </c>
      <c r="CF29" s="70"/>
      <c r="CG29" s="23" t="s">
        <v>630</v>
      </c>
      <c r="CH29" s="4" t="s">
        <v>609</v>
      </c>
      <c r="CI29" s="70"/>
      <c r="CJ29" s="4"/>
      <c r="CK29" s="90"/>
      <c r="CL29" s="157"/>
      <c r="CM29" s="157"/>
      <c r="CN29" s="157"/>
      <c r="CO29" s="157"/>
      <c r="CP29" s="157"/>
      <c r="CS29" s="157"/>
      <c r="CT29" s="70"/>
      <c r="CU29" s="4">
        <f t="shared" si="66"/>
        <v>0</v>
      </c>
      <c r="CV29" s="93" t="s">
        <v>649</v>
      </c>
      <c r="CW29" s="93" t="s">
        <v>650</v>
      </c>
      <c r="CX29" s="93" t="s">
        <v>651</v>
      </c>
      <c r="CY29" s="93" t="s">
        <v>652</v>
      </c>
      <c r="CZ29" s="93" t="s">
        <v>653</v>
      </c>
      <c r="DA29" s="70"/>
      <c r="DB29" s="13" t="s">
        <v>53</v>
      </c>
      <c r="DC29" s="16" t="str">
        <f t="shared" si="2"/>
        <v>Floor.14x15 Floor Tom</v>
      </c>
      <c r="DD29" s="4" t="s">
        <v>654</v>
      </c>
      <c r="DE29" s="69" t="str">
        <f t="shared" si="3"/>
        <v>MLLCLL</v>
      </c>
      <c r="DF29" s="13" t="s">
        <v>78</v>
      </c>
      <c r="DG29" s="13" t="s">
        <v>79</v>
      </c>
      <c r="DH29" s="13" t="s">
        <v>69</v>
      </c>
      <c r="DI29" s="13"/>
      <c r="DK29" s="13"/>
      <c r="DL29" s="13"/>
      <c r="DM29" s="13"/>
      <c r="DN29" s="13"/>
      <c r="DR29" s="31"/>
      <c r="DS29" s="66"/>
      <c r="DW29" s="114" t="s">
        <v>655</v>
      </c>
      <c r="DX29" s="66">
        <f>CS107</f>
        <v>0</v>
      </c>
      <c r="DY29" s="71" t="s">
        <v>389</v>
      </c>
      <c r="DZ29" s="13">
        <v>12</v>
      </c>
      <c r="EA29" s="13"/>
      <c r="EB29" s="13"/>
      <c r="EC29" s="16"/>
      <c r="ED29" s="26"/>
      <c r="EE29" s="26"/>
      <c r="EH29" s="24"/>
      <c r="EI29" s="24" t="s">
        <v>422</v>
      </c>
      <c r="EJ29" s="24"/>
      <c r="EK29" s="24"/>
      <c r="EL29" s="24"/>
      <c r="EM29" s="24"/>
      <c r="EN29" s="24"/>
      <c r="EO29" s="24"/>
      <c r="EP29" s="24"/>
      <c r="EQ29" s="24"/>
      <c r="ER29" s="24"/>
      <c r="ES29" s="24"/>
      <c r="EU29" s="26"/>
      <c r="EX29" s="27"/>
      <c r="EY29" s="18"/>
      <c r="FA29" s="69"/>
      <c r="FB29" t="s">
        <v>656</v>
      </c>
      <c r="FD29" t="s">
        <v>657</v>
      </c>
      <c r="FK29" s="73">
        <v>29</v>
      </c>
      <c r="FL29" s="13">
        <f t="shared" si="60"/>
        <v>0</v>
      </c>
      <c r="FM29" s="7" t="e">
        <f t="shared" si="61"/>
        <v>#N/A</v>
      </c>
      <c r="FN29" s="13"/>
      <c r="FO29" s="7" t="str">
        <f t="shared" si="62"/>
        <v>Bearing Edge</v>
      </c>
      <c r="FP29" t="str">
        <f t="shared" si="55"/>
        <v/>
      </c>
      <c r="FQ29" t="str">
        <f t="shared" si="59"/>
        <v>No Option</v>
      </c>
      <c r="FR29">
        <f t="shared" si="59"/>
        <v>0</v>
      </c>
      <c r="FT29" s="71"/>
      <c r="FX29" t="s">
        <v>658</v>
      </c>
      <c r="GC29" s="50"/>
      <c r="GE29" s="121"/>
      <c r="GS29" s="58" t="s">
        <v>659</v>
      </c>
      <c r="GT29" s="89" t="str">
        <f>IF($B$8="","",INDEX($Z$58:$AD$60,MATCH("Reso",$Z$58:$Z$60,0), MATCH($B$8,$Z$58:$AD$58,0)))</f>
        <v/>
      </c>
      <c r="GU29" s="89" t="str">
        <f>IF($B$9="","",INDEX($Z$58:$AD$60,MATCH("Reso",$Z$58:$Z$60,0), MATCH($B$9,$Z$58:$AD$58,0)))</f>
        <v/>
      </c>
      <c r="GV29" s="89" t="str">
        <f>IF($B$10="","",INDEX($Z$58:$AD$60,MATCH("Reso",$Z$58:$Z$60,0), MATCH($B$10,$Z$58:$AD$58,0)))</f>
        <v/>
      </c>
      <c r="GW29" s="89" t="str">
        <f>IF($B$11="","",INDEX($Z$58:$AD$60,MATCH("Reso",$Z$58:$Z$60,0), MATCH($B$11,$Z$58:$AD$58,0)))</f>
        <v/>
      </c>
      <c r="GX29" s="89" t="str">
        <f>IF($B$12="","",INDEX($Z$58:$AD$60,MATCH("Reso",$Z$58:$Z$60,0), MATCH($B$12,$Z$58:$AD$58,0)))</f>
        <v/>
      </c>
      <c r="GY29" s="89" t="str">
        <f>IF($B$13="","",INDEX($Z$58:$AD$60,MATCH("Reso",$Z$58:$Z$60,0), MATCH($B$13,$Z$58:$AD$58,0)))</f>
        <v/>
      </c>
      <c r="GZ29" s="89" t="str">
        <f>IF($B$14="","",INDEX($Z$58:$AD$60,MATCH("Reso",$Z$58:$Z$60,0), MATCH($B$14,$Z$58:$AD$58,0)))</f>
        <v/>
      </c>
      <c r="HA29" s="64" t="str">
        <f>IF($B$15="","",INDEX($Z$58:$AD$60,MATCH("Reso",$Z$58:$Z$60,0), MATCH($B$15,$Z$58:$AD$58,0)))</f>
        <v/>
      </c>
      <c r="HB29" s="64" t="str">
        <f>IF($B$16="","",INDEX($Z$58:$AD$60,MATCH("Reso",$Z$58:$Z$60,0), MATCH($B$16,$Z$58:$AD$58,0)))</f>
        <v/>
      </c>
      <c r="HC29" s="64" t="str">
        <f>IF($B$17="","",INDEX($Z$58:$AD$60,MATCH("Reso",$Z$58:$Z$60,0), MATCH($B$17,$Z$58:$AD$58,0)))</f>
        <v/>
      </c>
      <c r="HD29" s="64" t="str">
        <f>IF($B$18="","",INDEX($Z$58:$AD$60,MATCH("Reso",$Z$58:$Z$60,0), MATCH($B$18,$Z$58:$AD$58,0)))</f>
        <v/>
      </c>
      <c r="HE29" s="64" t="str">
        <f>IF($B$19="","",INDEX($Z$58:$AD$60,MATCH("Reso",$Z$58:$Z$60,0), MATCH($B$19,$Z$58:$AD$58,0)))</f>
        <v/>
      </c>
      <c r="HF29" s="64" t="str">
        <f>IF($B$20="","",INDEX($Z$58:$AD$60,MATCH("Reso",$Z$58:$Z$60,0), MATCH($B$20,$Z$58:$AD$58,0)))</f>
        <v/>
      </c>
    </row>
    <row r="30" spans="1:215" ht="16.2" thickBot="1" x14ac:dyDescent="0.35">
      <c r="A30" s="29" t="str">
        <f>IF(GC24=1,"Double","DblSngl")</f>
        <v>Double</v>
      </c>
      <c r="B30" s="28" t="str">
        <f>IF(G30="Single","Single","Double")</f>
        <v>Double</v>
      </c>
      <c r="C30" s="78"/>
      <c r="D30" s="97" t="s">
        <v>660</v>
      </c>
      <c r="E30" s="13" t="s">
        <v>661</v>
      </c>
      <c r="F30" s="13" t="str">
        <f>IF(OR($C$2&lt;&gt;"Classic Maple",GC24=1),"No Option","Change to")</f>
        <v>No Option</v>
      </c>
      <c r="G30" s="115"/>
      <c r="H30" s="130" t="str">
        <f ca="1">IF($G$30="","",IF(ISERROR(MATCH($G$30,INDIRECT(A30),0))=FALSE,"","Invalid Selection"))</f>
        <v/>
      </c>
      <c r="J30" s="150"/>
      <c r="K30" s="43"/>
      <c r="L30" s="148"/>
      <c r="M30" s="32"/>
      <c r="N30" s="188"/>
      <c r="O30" s="222" t="e">
        <f t="shared" si="56"/>
        <v>#N/A</v>
      </c>
      <c r="P30" s="195">
        <f t="shared" si="57"/>
        <v>0</v>
      </c>
      <c r="Q30" s="195">
        <f t="shared" si="58"/>
        <v>0</v>
      </c>
      <c r="R30" s="190"/>
      <c r="S30" s="173"/>
      <c r="T30" s="173"/>
      <c r="U30" s="173"/>
      <c r="V30" s="173"/>
      <c r="AE30" s="14" t="s">
        <v>662</v>
      </c>
      <c r="AF30" s="10" t="s">
        <v>663</v>
      </c>
      <c r="AG30" s="56" t="s">
        <v>530</v>
      </c>
      <c r="AH30" s="66" t="s">
        <v>113</v>
      </c>
      <c r="AI30" s="26" t="s">
        <v>114</v>
      </c>
      <c r="AJ30" s="104" t="s">
        <v>115</v>
      </c>
      <c r="AK30" s="105" t="s">
        <v>530</v>
      </c>
      <c r="AL30" s="6"/>
      <c r="AM30" s="94">
        <f>IF(ISERROR(MATCH($C$3,AM32:AM93,0))=FALSE,1,0)</f>
        <v>0</v>
      </c>
      <c r="AN30" t="s">
        <v>664</v>
      </c>
      <c r="AO30" s="6"/>
      <c r="AP30" s="6"/>
      <c r="AQ30" s="6"/>
      <c r="AR30" s="6"/>
      <c r="AT30" s="90" t="s">
        <v>665</v>
      </c>
      <c r="AU30" s="15">
        <f t="shared" si="54"/>
        <v>243</v>
      </c>
      <c r="AV30" s="15">
        <f t="shared" si="54"/>
        <v>243</v>
      </c>
      <c r="AW30" s="15">
        <f t="shared" si="54"/>
        <v>243</v>
      </c>
      <c r="AX30" s="15">
        <f t="shared" si="54"/>
        <v>0</v>
      </c>
      <c r="AY30" s="15">
        <f t="shared" si="54"/>
        <v>0</v>
      </c>
      <c r="AZ30" s="15">
        <f t="shared" si="54"/>
        <v>400</v>
      </c>
      <c r="BA30" s="15">
        <f t="shared" si="54"/>
        <v>0</v>
      </c>
      <c r="BB30" s="15">
        <f t="shared" si="54"/>
        <v>0</v>
      </c>
      <c r="BC30" s="15">
        <f t="shared" si="54"/>
        <v>0</v>
      </c>
      <c r="BD30" s="15">
        <f t="shared" si="54"/>
        <v>0</v>
      </c>
      <c r="BE30" s="15">
        <f t="shared" si="54"/>
        <v>0</v>
      </c>
      <c r="BF30" s="15">
        <f t="shared" si="54"/>
        <v>0</v>
      </c>
      <c r="BG30" s="6"/>
      <c r="BH30" s="56"/>
      <c r="BI30" s="1" t="s">
        <v>398</v>
      </c>
      <c r="BK30" s="1" t="s">
        <v>648</v>
      </c>
      <c r="BM30" s="1" t="s">
        <v>631</v>
      </c>
      <c r="BP30" s="4" t="s">
        <v>654</v>
      </c>
      <c r="BQ30" s="4"/>
      <c r="BR30" s="6" t="str">
        <f t="shared" si="63"/>
        <v>Classic Maple 14x15 Floor Tom</v>
      </c>
      <c r="BS30" s="4" t="s">
        <v>654</v>
      </c>
      <c r="BT30" s="71"/>
      <c r="BU30" s="4"/>
      <c r="BV30" s="6" t="str">
        <f t="shared" si="64"/>
        <v>Legacy Maple 14x15 Floor Tom</v>
      </c>
      <c r="BW30" s="4" t="s">
        <v>654</v>
      </c>
      <c r="BX30" s="67"/>
      <c r="BY30" s="4"/>
      <c r="BZ30" s="6" t="str">
        <f t="shared" si="67"/>
        <v>Legacy Mahogany 14x15 Floor Tom</v>
      </c>
      <c r="CA30" s="4" t="s">
        <v>654</v>
      </c>
      <c r="CB30" s="67"/>
      <c r="CC30" s="4"/>
      <c r="CD30" s="6" t="str">
        <f t="shared" si="65"/>
        <v>Legacy Exotic 14x15 Floor Tom</v>
      </c>
      <c r="CE30" s="4" t="s">
        <v>654</v>
      </c>
      <c r="CF30" s="70"/>
      <c r="CG30" s="23" t="s">
        <v>647</v>
      </c>
      <c r="CH30" s="4" t="s">
        <v>654</v>
      </c>
      <c r="CI30" s="70"/>
      <c r="CJ30" s="4"/>
      <c r="CK30" s="90"/>
      <c r="CL30" s="157"/>
      <c r="CM30" s="157"/>
      <c r="CN30" s="157"/>
      <c r="CO30" s="157"/>
      <c r="CP30" s="157"/>
      <c r="CS30" s="157"/>
      <c r="CT30" s="70"/>
      <c r="CU30" s="4">
        <f t="shared" si="66"/>
        <v>0</v>
      </c>
      <c r="CV30" s="93" t="s">
        <v>666</v>
      </c>
      <c r="CW30" s="93" t="s">
        <v>667</v>
      </c>
      <c r="CX30" s="93" t="s">
        <v>668</v>
      </c>
      <c r="CY30" s="93" t="s">
        <v>669</v>
      </c>
      <c r="CZ30" s="93" t="s">
        <v>670</v>
      </c>
      <c r="DA30" s="70"/>
      <c r="DB30" s="13" t="s">
        <v>53</v>
      </c>
      <c r="DC30" s="16" t="str">
        <f t="shared" si="2"/>
        <v>Floor.14x16 Floor Tom</v>
      </c>
      <c r="DD30" s="4" t="s">
        <v>671</v>
      </c>
      <c r="DE30" s="69" t="str">
        <f t="shared" ref="DE30:DE69" si="68">CONCATENATE(DF30,DG30,DH30,DI30,DJ30,DK30,DL30,DM30)</f>
        <v>MLLCLL</v>
      </c>
      <c r="DF30" s="13" t="s">
        <v>78</v>
      </c>
      <c r="DG30" s="13" t="s">
        <v>79</v>
      </c>
      <c r="DH30" s="13" t="s">
        <v>69</v>
      </c>
      <c r="DI30" s="13"/>
      <c r="DK30" s="13"/>
      <c r="DL30" s="13"/>
      <c r="DM30" s="13"/>
      <c r="DN30" s="13"/>
      <c r="DR30" s="31"/>
      <c r="DS30" s="66"/>
      <c r="DW30" s="110" t="s">
        <v>672</v>
      </c>
      <c r="DX30" s="66">
        <f>CS108</f>
        <v>0</v>
      </c>
      <c r="DY30" s="71" t="s">
        <v>673</v>
      </c>
      <c r="DZ30" s="13">
        <v>10</v>
      </c>
      <c r="EA30" s="13"/>
      <c r="EB30" s="13"/>
      <c r="EC30" s="16"/>
      <c r="ED30" s="26"/>
      <c r="EE30" s="26"/>
      <c r="EH30" s="24"/>
      <c r="EI30" s="24" t="s">
        <v>114</v>
      </c>
      <c r="EJ30" s="24"/>
      <c r="EK30" s="24"/>
      <c r="EL30" s="24"/>
      <c r="EM30" s="24"/>
      <c r="EN30" s="24"/>
      <c r="EO30" s="24"/>
      <c r="EP30" s="24"/>
      <c r="EQ30" s="24"/>
      <c r="ER30" s="24"/>
      <c r="ES30" s="24"/>
      <c r="EU30" s="26"/>
      <c r="EX30" s="27"/>
      <c r="EY30" s="18"/>
      <c r="FA30" s="69"/>
      <c r="FB30" t="s">
        <v>674</v>
      </c>
      <c r="FD30" s="208" t="s">
        <v>675</v>
      </c>
      <c r="FK30" s="73">
        <v>30</v>
      </c>
      <c r="FL30" s="13" t="str">
        <f t="shared" si="60"/>
        <v>Double</v>
      </c>
      <c r="FM30" s="7" t="str">
        <f t="shared" si="61"/>
        <v>Double</v>
      </c>
      <c r="FN30" s="13"/>
      <c r="FO30" s="7" t="str">
        <f t="shared" si="62"/>
        <v>Double / Single Head</v>
      </c>
      <c r="FP30" t="str">
        <f>E30</f>
        <v>Double</v>
      </c>
      <c r="FQ30" t="str">
        <f>F30</f>
        <v>No Option</v>
      </c>
      <c r="FR30" t="str">
        <f>B30</f>
        <v>Double</v>
      </c>
      <c r="FX30" t="s">
        <v>676</v>
      </c>
      <c r="GC30" s="50" t="s">
        <v>661</v>
      </c>
      <c r="GD30" t="s">
        <v>677</v>
      </c>
      <c r="GE30" s="121"/>
      <c r="GG30" t="s">
        <v>678</v>
      </c>
      <c r="GS30" s="58" t="s">
        <v>149</v>
      </c>
      <c r="GT30" s="88" t="str">
        <f>IF($C$8="","",$C$4)</f>
        <v/>
      </c>
      <c r="GU30" s="88" t="str">
        <f>IF($C$9="","",$C$4)</f>
        <v/>
      </c>
      <c r="GV30" s="88" t="str">
        <f>IF($C$10="","",$C$4)</f>
        <v/>
      </c>
      <c r="GW30" s="88" t="str">
        <f>IF($C$11="","",$C$4)</f>
        <v/>
      </c>
      <c r="GX30" s="88" t="str">
        <f>IF($C$12="","",$C$4)</f>
        <v/>
      </c>
      <c r="GY30" s="88" t="str">
        <f>IF($C$13="","",$C$4)</f>
        <v/>
      </c>
      <c r="GZ30" s="88" t="str">
        <f>IF($C$14="","",$C$4)</f>
        <v/>
      </c>
      <c r="HA30" s="62" t="str">
        <f>IF($C$15="","",$C$4)</f>
        <v/>
      </c>
      <c r="HB30" s="62" t="str">
        <f>IF($C$16="","",$C$4)</f>
        <v/>
      </c>
      <c r="HC30" s="62" t="str">
        <f>IF($C$17="","",$C$4)</f>
        <v/>
      </c>
      <c r="HD30" s="62" t="str">
        <f>IF($C$18="","",$C$4)</f>
        <v/>
      </c>
      <c r="HE30" s="62" t="str">
        <f>IF($C$19="","",$C$4)</f>
        <v/>
      </c>
      <c r="HF30" s="62" t="str">
        <f>IF($C$20="","",$C$4)</f>
        <v/>
      </c>
    </row>
    <row r="31" spans="1:215" ht="24" customHeight="1" thickBot="1" x14ac:dyDescent="0.45">
      <c r="A31" s="29"/>
      <c r="B31" s="29"/>
      <c r="E31" s="142" t="s">
        <v>506</v>
      </c>
      <c r="G31" s="143" t="s">
        <v>507</v>
      </c>
      <c r="J31" s="150"/>
      <c r="K31" s="4"/>
      <c r="L31" s="149"/>
      <c r="M31" s="32"/>
      <c r="N31" s="149"/>
      <c r="O31" s="196"/>
      <c r="P31" s="196"/>
      <c r="Q31" s="195"/>
      <c r="R31" s="190"/>
      <c r="W31" s="173"/>
      <c r="X31" s="173"/>
      <c r="AE31" s="47" t="s">
        <v>301</v>
      </c>
      <c r="AF31" s="10" t="s">
        <v>679</v>
      </c>
      <c r="AG31" s="56" t="s">
        <v>552</v>
      </c>
      <c r="AH31" s="66" t="s">
        <v>113</v>
      </c>
      <c r="AI31" s="26" t="s">
        <v>114</v>
      </c>
      <c r="AJ31" s="104" t="s">
        <v>115</v>
      </c>
      <c r="AK31" s="105" t="s">
        <v>552</v>
      </c>
      <c r="AL31" s="6"/>
      <c r="AM31" s="6" t="s">
        <v>680</v>
      </c>
      <c r="AN31" s="6"/>
      <c r="AO31" s="6"/>
      <c r="AP31" s="6"/>
      <c r="AQ31" s="6"/>
      <c r="AR31" s="6"/>
      <c r="AT31" s="90" t="s">
        <v>681</v>
      </c>
      <c r="AU31" s="15">
        <f t="shared" si="54"/>
        <v>243</v>
      </c>
      <c r="AV31" s="15">
        <f t="shared" si="54"/>
        <v>243</v>
      </c>
      <c r="AW31" s="15">
        <f t="shared" si="54"/>
        <v>243</v>
      </c>
      <c r="AX31" s="15">
        <f t="shared" si="54"/>
        <v>0</v>
      </c>
      <c r="AY31" s="15">
        <f t="shared" si="54"/>
        <v>0</v>
      </c>
      <c r="AZ31" s="15">
        <f t="shared" si="54"/>
        <v>400</v>
      </c>
      <c r="BA31" s="15">
        <f t="shared" si="54"/>
        <v>0</v>
      </c>
      <c r="BB31" s="15">
        <f t="shared" si="54"/>
        <v>0</v>
      </c>
      <c r="BC31" s="15">
        <f t="shared" si="54"/>
        <v>0</v>
      </c>
      <c r="BD31" s="15">
        <f t="shared" si="54"/>
        <v>0</v>
      </c>
      <c r="BE31" s="15">
        <f t="shared" si="54"/>
        <v>0</v>
      </c>
      <c r="BF31" s="15">
        <f t="shared" si="54"/>
        <v>0</v>
      </c>
      <c r="BG31" s="6"/>
      <c r="BH31" s="56"/>
      <c r="BI31" s="1" t="s">
        <v>412</v>
      </c>
      <c r="BM31" s="1" t="s">
        <v>648</v>
      </c>
      <c r="BP31" s="4" t="s">
        <v>624</v>
      </c>
      <c r="BQ31" s="4"/>
      <c r="BR31" s="6" t="str">
        <f t="shared" si="63"/>
        <v>Classic Maple 13x16 Floor tom</v>
      </c>
      <c r="BS31" s="4" t="s">
        <v>624</v>
      </c>
      <c r="BT31" s="71"/>
      <c r="BU31" s="4"/>
      <c r="BV31" s="6" t="str">
        <f t="shared" si="64"/>
        <v>Legacy Maple 13x16 Floor Tom</v>
      </c>
      <c r="BW31" s="4" t="s">
        <v>682</v>
      </c>
      <c r="BX31" s="67"/>
      <c r="BY31" s="4"/>
      <c r="BZ31" s="6" t="str">
        <f t="shared" si="67"/>
        <v>Legacy Mahogany 13x16 Floor Tom</v>
      </c>
      <c r="CA31" s="4" t="s">
        <v>682</v>
      </c>
      <c r="CB31" s="67"/>
      <c r="CC31" s="4"/>
      <c r="CD31" s="6" t="str">
        <f t="shared" si="65"/>
        <v>Legacy Exotic 13x16 Floor Tom</v>
      </c>
      <c r="CE31" s="4" t="s">
        <v>682</v>
      </c>
      <c r="CF31" s="70"/>
      <c r="CG31" s="23" t="s">
        <v>665</v>
      </c>
      <c r="CH31" s="4" t="s">
        <v>682</v>
      </c>
      <c r="CI31" s="70"/>
      <c r="CJ31" s="4"/>
      <c r="CK31" s="90"/>
      <c r="CL31" s="157"/>
      <c r="CM31" s="157"/>
      <c r="CN31" s="157"/>
      <c r="CO31" s="157"/>
      <c r="CP31" s="157"/>
      <c r="CS31" s="157"/>
      <c r="CT31" s="70"/>
      <c r="CU31" s="4">
        <f t="shared" si="66"/>
        <v>0</v>
      </c>
      <c r="CV31" s="93" t="s">
        <v>683</v>
      </c>
      <c r="CW31" s="93" t="s">
        <v>684</v>
      </c>
      <c r="CX31" s="93" t="s">
        <v>685</v>
      </c>
      <c r="CY31" s="93" t="s">
        <v>686</v>
      </c>
      <c r="CZ31" s="93" t="s">
        <v>687</v>
      </c>
      <c r="DA31" s="70"/>
      <c r="DB31" s="13" t="s">
        <v>53</v>
      </c>
      <c r="DC31" s="16" t="str">
        <f t="shared" si="2"/>
        <v>Floor.15x16 Floor Tom</v>
      </c>
      <c r="DD31" s="4" t="s">
        <v>688</v>
      </c>
      <c r="DE31" s="69" t="str">
        <f t="shared" si="68"/>
        <v>MLLCLL</v>
      </c>
      <c r="DF31" s="13" t="s">
        <v>78</v>
      </c>
      <c r="DG31" s="13" t="s">
        <v>79</v>
      </c>
      <c r="DH31" s="13" t="s">
        <v>69</v>
      </c>
      <c r="DI31" s="13"/>
      <c r="DK31" s="13"/>
      <c r="DL31" s="13"/>
      <c r="DM31" s="13"/>
      <c r="DN31" s="13"/>
      <c r="DR31" s="31"/>
      <c r="DS31" s="66"/>
      <c r="DX31" s="66"/>
      <c r="DY31" s="71"/>
      <c r="EB31" s="13"/>
      <c r="EC31" s="16"/>
      <c r="ED31" s="26"/>
      <c r="EE31" s="26"/>
      <c r="EH31" s="24"/>
      <c r="EI31" s="24" t="s">
        <v>303</v>
      </c>
      <c r="EJ31" s="24"/>
      <c r="EK31" s="24"/>
      <c r="EL31" s="24"/>
      <c r="EM31" s="24"/>
      <c r="EN31" s="24"/>
      <c r="EO31" s="24"/>
      <c r="EP31" s="24"/>
      <c r="EQ31" s="24"/>
      <c r="ER31" s="24"/>
      <c r="ES31" s="24"/>
      <c r="EU31" s="26"/>
      <c r="EX31" s="27"/>
      <c r="EY31" s="18"/>
      <c r="FA31" s="69"/>
      <c r="FB31" t="s">
        <v>689</v>
      </c>
      <c r="FD31" t="s">
        <v>690</v>
      </c>
      <c r="FK31" s="73">
        <v>31</v>
      </c>
      <c r="FL31" s="13">
        <f t="shared" si="60"/>
        <v>0</v>
      </c>
      <c r="FM31" s="7">
        <f t="shared" ref="FM31:FM49" si="69">B31</f>
        <v>0</v>
      </c>
      <c r="FN31" s="13"/>
      <c r="FO31" s="13"/>
      <c r="FP31" s="191" t="str">
        <f t="shared" ref="FP31:FP49" si="70">E31</f>
        <v>Standard Options:</v>
      </c>
      <c r="GC31" s="50" t="s">
        <v>661</v>
      </c>
      <c r="GD31" t="s">
        <v>691</v>
      </c>
      <c r="GE31" s="121"/>
      <c r="GG31" s="69" t="s">
        <v>692</v>
      </c>
      <c r="GH31" s="7" t="s">
        <v>613</v>
      </c>
      <c r="GS31" s="58" t="s">
        <v>693</v>
      </c>
      <c r="GT31" s="89" t="str">
        <f>IF($B$8="Snare",$AR$16, IF($B$8="Tom",$AR$16, IF($B$8="Floor",$AR$16, IF($B$8="Bass",$AR$16,""))))</f>
        <v/>
      </c>
      <c r="GU31" s="89" t="str">
        <f>IF($B$9="Snare",$AR$16, IF($B$9="Tom",$AR$16, IF($B$9="Floor",$AR$16, IF($B$9="Bass",$AR$16,""))))</f>
        <v/>
      </c>
      <c r="GV31" s="89" t="str">
        <f>IF($B$10="Snare",$AR$16, IF($B$10="Tom",$AR$16, IF($B$10="Floor",$AR$16, IF($B$10="Bass",$AR$16,""))))</f>
        <v/>
      </c>
      <c r="GW31" s="89" t="str">
        <f>IF($B$11="Snare",$AR$16, IF($B$11="Tom",$AR$16, IF($B$11="Floor",$AR$16, IF($B$11="Bass",$AR$16,""))))</f>
        <v/>
      </c>
      <c r="GX31" s="89" t="str">
        <f>IF($B$12="Snare",$AR$16, IF($B$12="Tom",$AR$16, IF($B$12="Floor",$AR$16, IF($B$12="Bass",$AR$16,""))))</f>
        <v/>
      </c>
      <c r="GY31" s="89" t="str">
        <f>IF($B$13="Snare",$AR$16, IF($B$13="Tom",$AR$16, IF($B$13="Floor",$AR$16, IF($B$13="Bass",$AR$16,""))))</f>
        <v/>
      </c>
      <c r="GZ31" s="89" t="str">
        <f>IF($B$14="Snare",$AR$16, IF($B$14="Tom",$AR$16, IF($B$14="Floor",$AR$16, IF($B$14="Bass",$AR$16,""))))</f>
        <v/>
      </c>
      <c r="HA31" s="64" t="str">
        <f>IF($B$15="Snare",$AR$16, IF($B$15="Tom",$AR$16, IF($B$15="Floor",$AR$16, IF($B$15="Bass",$AR$16,""))))</f>
        <v/>
      </c>
      <c r="HB31" s="64" t="str">
        <f>IF($B$16="Snare",$AR$16, IF($B$16="Tom",$AR$16, IF($B$16="Floor",$AR$16, IF($B$16="Bass",$AR$16,""))))</f>
        <v/>
      </c>
      <c r="HC31" s="64" t="str">
        <f>IF($B$17="Snare",$AR$16, IF($B$17="Tom",$AR$16, IF($B$17="Floor",$AR$16, IF($B$17="Bass",$AR$16,""))))</f>
        <v/>
      </c>
      <c r="HD31" s="64" t="str">
        <f>IF($B$18="Snare",$AR$16, IF($B$18="Tom",$AR$16, IF($B$18="Floor",$AR$16, IF($B$18="Bass",$AR$16,""))))</f>
        <v/>
      </c>
      <c r="HE31" s="64" t="str">
        <f>IF($B$19="Snare",$AR$16, IF($B$19="Tom",$AR$16, IF($B$19="Floor",$AR$16, IF($B$19="Bass",$AR$16,""))))</f>
        <v/>
      </c>
      <c r="HF31" s="64" t="str">
        <f>IF($B$20="Snare",$AR$16, IF($B$20="Tom",$AR$16, IF($B$20="Floor",$AR$16, IF($B$20="Bass",$AR$16,""))))</f>
        <v/>
      </c>
      <c r="HG31" s="13"/>
    </row>
    <row r="32" spans="1:215" ht="16.2" thickBot="1" x14ac:dyDescent="0.35">
      <c r="A32" s="29"/>
      <c r="B32" s="29" t="s">
        <v>694</v>
      </c>
      <c r="C32" s="128" t="s">
        <v>695</v>
      </c>
      <c r="D32" s="49" t="s">
        <v>566</v>
      </c>
      <c r="E32" s="13" t="s">
        <v>628</v>
      </c>
      <c r="F32" s="13" t="s">
        <v>527</v>
      </c>
      <c r="G32" s="141"/>
      <c r="H32" s="43"/>
      <c r="J32" s="150"/>
      <c r="K32" s="43"/>
      <c r="L32" s="148"/>
      <c r="M32" s="32"/>
      <c r="N32" s="188"/>
      <c r="O32" s="222" t="e">
        <f>CONCATENATE("LT ",INDEX($AC$2:$AF$7,MATCH($C$2,$AE$2:$AE$7,0),1)," ",$CK$1)</f>
        <v>#N/A</v>
      </c>
      <c r="P32" s="195">
        <f>IFERROR(INDEX($CU:$DB,MATCH($O32,$CU:$CU,0),MATCH("Retail",$CU$107:$DC$107,0)),0)</f>
        <v>0</v>
      </c>
      <c r="Q32" s="195">
        <f>IFERROR(INDEX($CU:$DF,MATCH($O32,$CU:$CU,0),MATCH($L$1,$CU$105:$DF$105,0)),0)</f>
        <v>0</v>
      </c>
      <c r="R32" s="190"/>
      <c r="T32" s="173"/>
      <c r="W32" s="173"/>
      <c r="X32" s="173"/>
      <c r="AE32" s="47" t="s">
        <v>696</v>
      </c>
      <c r="AF32" s="10" t="s">
        <v>679</v>
      </c>
      <c r="AG32" s="56" t="s">
        <v>697</v>
      </c>
      <c r="AH32" s="66" t="s">
        <v>113</v>
      </c>
      <c r="AI32" s="26" t="s">
        <v>114</v>
      </c>
      <c r="AJ32" s="104" t="s">
        <v>115</v>
      </c>
      <c r="AK32" s="105" t="s">
        <v>697</v>
      </c>
      <c r="AL32" s="6"/>
      <c r="AM32" s="144" t="s">
        <v>457</v>
      </c>
      <c r="AN32" s="6"/>
      <c r="AO32" s="6"/>
      <c r="AP32" s="6"/>
      <c r="AQ32" s="6"/>
      <c r="AR32" s="6"/>
      <c r="AT32" s="90" t="s">
        <v>698</v>
      </c>
      <c r="AU32" s="15">
        <f t="shared" si="54"/>
        <v>243</v>
      </c>
      <c r="AV32" s="15">
        <f t="shared" si="54"/>
        <v>243</v>
      </c>
      <c r="AW32" s="15">
        <f t="shared" si="54"/>
        <v>243</v>
      </c>
      <c r="AX32" s="15">
        <f t="shared" si="54"/>
        <v>0</v>
      </c>
      <c r="AY32" s="15">
        <f t="shared" si="54"/>
        <v>0</v>
      </c>
      <c r="AZ32" s="15">
        <f t="shared" si="54"/>
        <v>400</v>
      </c>
      <c r="BA32" s="15">
        <f t="shared" si="54"/>
        <v>0</v>
      </c>
      <c r="BB32" s="15">
        <f t="shared" si="54"/>
        <v>0</v>
      </c>
      <c r="BC32" s="15">
        <f t="shared" si="54"/>
        <v>0</v>
      </c>
      <c r="BD32" s="15">
        <f t="shared" si="54"/>
        <v>0</v>
      </c>
      <c r="BE32" s="15">
        <f t="shared" si="54"/>
        <v>0</v>
      </c>
      <c r="BF32" s="15">
        <f t="shared" si="54"/>
        <v>0</v>
      </c>
      <c r="BG32" s="6"/>
      <c r="BH32" s="56"/>
      <c r="BI32" s="1" t="s">
        <v>427</v>
      </c>
      <c r="BM32" s="1"/>
      <c r="BP32" s="4" t="s">
        <v>671</v>
      </c>
      <c r="BQ32" s="4"/>
      <c r="BR32" s="6" t="str">
        <f t="shared" si="63"/>
        <v>Classic Maple 14x16 Floor Tom</v>
      </c>
      <c r="BS32" s="4" t="s">
        <v>671</v>
      </c>
      <c r="BT32" s="71"/>
      <c r="BU32" s="4"/>
      <c r="BV32" s="6" t="str">
        <f t="shared" si="64"/>
        <v>Legacy Maple 14x16 Floor Tom</v>
      </c>
      <c r="BW32" s="4" t="s">
        <v>671</v>
      </c>
      <c r="BX32" s="67"/>
      <c r="BY32" s="4"/>
      <c r="BZ32" s="6" t="str">
        <f t="shared" si="67"/>
        <v>Legacy Mahogany 14x16 Floor Tom</v>
      </c>
      <c r="CA32" s="4" t="s">
        <v>671</v>
      </c>
      <c r="CB32" s="67"/>
      <c r="CC32" s="4"/>
      <c r="CD32" s="6" t="str">
        <f t="shared" si="65"/>
        <v>Legacy Exotic 14x16 Floor Tom</v>
      </c>
      <c r="CE32" s="4" t="s">
        <v>671</v>
      </c>
      <c r="CF32" s="70"/>
      <c r="CG32" s="23" t="s">
        <v>681</v>
      </c>
      <c r="CH32" s="4" t="s">
        <v>671</v>
      </c>
      <c r="CI32" s="70"/>
      <c r="CJ32" s="4"/>
      <c r="CK32" s="90"/>
      <c r="CL32" s="157"/>
      <c r="CM32" s="157"/>
      <c r="CN32" s="157"/>
      <c r="CO32" s="157"/>
      <c r="CP32" s="157"/>
      <c r="CS32" s="157"/>
      <c r="CT32" s="70"/>
      <c r="CU32" s="4">
        <f t="shared" si="66"/>
        <v>0</v>
      </c>
      <c r="CV32" s="93" t="s">
        <v>699</v>
      </c>
      <c r="CW32" s="93" t="s">
        <v>700</v>
      </c>
      <c r="CX32" s="93" t="s">
        <v>701</v>
      </c>
      <c r="CY32" s="93" t="s">
        <v>702</v>
      </c>
      <c r="CZ32" s="93" t="s">
        <v>703</v>
      </c>
      <c r="DA32" s="70"/>
      <c r="DB32" s="13" t="s">
        <v>53</v>
      </c>
      <c r="DC32" s="16" t="str">
        <f t="shared" si="2"/>
        <v>Floor.16x16 Floor Tom</v>
      </c>
      <c r="DD32" s="4" t="s">
        <v>704</v>
      </c>
      <c r="DE32" s="69" t="str">
        <f t="shared" si="68"/>
        <v>MLLCLLLILT</v>
      </c>
      <c r="DF32" s="13" t="s">
        <v>78</v>
      </c>
      <c r="DG32" s="13" t="s">
        <v>79</v>
      </c>
      <c r="DH32" s="13" t="s">
        <v>69</v>
      </c>
      <c r="DI32" s="13" t="s">
        <v>80</v>
      </c>
      <c r="DJ32" s="13" t="s">
        <v>81</v>
      </c>
      <c r="DK32" s="13"/>
      <c r="DL32" s="13"/>
      <c r="DM32" s="13"/>
      <c r="DR32" s="31"/>
      <c r="DW32" t="s">
        <v>705</v>
      </c>
      <c r="DX32" s="66" t="s">
        <v>86</v>
      </c>
      <c r="DY32" s="10" t="s">
        <v>87</v>
      </c>
      <c r="DZ32" s="13" t="s">
        <v>89</v>
      </c>
      <c r="EA32" s="13"/>
      <c r="EB32" s="13"/>
      <c r="EC32" s="16"/>
      <c r="ED32" s="26"/>
      <c r="EE32" s="26"/>
      <c r="EH32" s="24"/>
      <c r="EJ32" s="24"/>
      <c r="EK32" s="24"/>
      <c r="EL32" s="24"/>
      <c r="EM32" s="24"/>
      <c r="EN32" s="24"/>
      <c r="EO32" s="24"/>
      <c r="EP32" s="24"/>
      <c r="EQ32" s="24"/>
      <c r="ER32" s="24"/>
      <c r="ES32" s="24"/>
      <c r="EU32" s="26"/>
      <c r="EX32" s="27"/>
      <c r="EY32" s="18"/>
      <c r="FA32" s="69"/>
      <c r="FB32" t="s">
        <v>706</v>
      </c>
      <c r="FD32" t="s">
        <v>707</v>
      </c>
      <c r="FK32" s="73">
        <v>32</v>
      </c>
      <c r="FL32" s="13">
        <f t="shared" si="60"/>
        <v>0</v>
      </c>
      <c r="FM32" s="7" t="str">
        <f t="shared" si="69"/>
        <v>TT Count</v>
      </c>
      <c r="FN32" s="15" t="str">
        <f>C32</f>
        <v>Tom Tom Details</v>
      </c>
      <c r="FO32" s="7" t="str">
        <f>D32</f>
        <v>Tone Control</v>
      </c>
      <c r="FP32" t="str">
        <f t="shared" si="70"/>
        <v>None</v>
      </c>
      <c r="FQ32" t="str">
        <f t="shared" ref="FQ32:FR36" si="71">F32</f>
        <v>Change to</v>
      </c>
      <c r="FR32">
        <f t="shared" si="71"/>
        <v>0</v>
      </c>
      <c r="GC32" s="51"/>
      <c r="GD32" s="101"/>
      <c r="GE32" s="123"/>
      <c r="GG32" s="69" t="s">
        <v>708</v>
      </c>
      <c r="GH32" s="7" t="s">
        <v>599</v>
      </c>
      <c r="GS32" s="58" t="s">
        <v>709</v>
      </c>
      <c r="GT32" s="198"/>
      <c r="GU32" s="198"/>
      <c r="GV32" s="198"/>
      <c r="GW32" s="198"/>
      <c r="GX32" s="198"/>
      <c r="GY32" s="198"/>
      <c r="GZ32" s="198"/>
      <c r="HA32" s="199"/>
      <c r="HB32" s="199"/>
      <c r="HC32" s="199"/>
      <c r="HD32" s="199"/>
      <c r="HE32" s="199"/>
      <c r="HF32" s="199"/>
    </row>
    <row r="33" spans="1:216" x14ac:dyDescent="0.3">
      <c r="A33" s="29" t="s">
        <v>710</v>
      </c>
      <c r="B33" s="112"/>
      <c r="C33" s="50"/>
      <c r="D33" s="30" t="s">
        <v>597</v>
      </c>
      <c r="E33" s="13" t="s">
        <v>711</v>
      </c>
      <c r="F33" s="13" t="s">
        <v>527</v>
      </c>
      <c r="G33" s="141"/>
      <c r="H33" s="43"/>
      <c r="J33" s="150"/>
      <c r="K33" s="43"/>
      <c r="L33" s="147"/>
      <c r="M33" s="4"/>
      <c r="N33" s="188"/>
      <c r="O33" s="222" t="e">
        <f>CONCATENATE("LT ",INDEX($AC$2:$AF$7,MATCH($C$2,$AE$2:$AE$7,0),1)," ",$CK$1)</f>
        <v>#N/A</v>
      </c>
      <c r="P33" s="195">
        <f>IFERROR(INDEX($CU:$DB,MATCH($O33,$CU:$CU,0),MATCH("Retail",$CU$107:$DC$107,0)),0)</f>
        <v>0</v>
      </c>
      <c r="Q33" s="195">
        <f>IFERROR(INDEX($CU:$DF,MATCH($O33,$CU:$CU,0),MATCH($L$1,$CU$105:$DF$105,0)),0)</f>
        <v>0</v>
      </c>
      <c r="R33" s="29"/>
      <c r="S33" s="173"/>
      <c r="T33" s="173"/>
      <c r="U33" s="173"/>
      <c r="V33" s="173"/>
      <c r="W33" s="173"/>
      <c r="AE33" s="47" t="s">
        <v>712</v>
      </c>
      <c r="AF33" s="10" t="s">
        <v>679</v>
      </c>
      <c r="AG33" s="56" t="s">
        <v>713</v>
      </c>
      <c r="AH33" s="66" t="s">
        <v>113</v>
      </c>
      <c r="AI33" s="26" t="s">
        <v>114</v>
      </c>
      <c r="AJ33" s="104" t="s">
        <v>115</v>
      </c>
      <c r="AK33" s="105" t="s">
        <v>713</v>
      </c>
      <c r="AL33" s="6"/>
      <c r="AM33" s="144"/>
      <c r="AN33" s="6"/>
      <c r="AO33" s="6"/>
      <c r="AP33" s="6"/>
      <c r="AQ33" s="6"/>
      <c r="AR33" s="6"/>
      <c r="AT33" s="90" t="s">
        <v>714</v>
      </c>
      <c r="AU33" s="15">
        <f t="shared" si="54"/>
        <v>243</v>
      </c>
      <c r="AV33" s="15">
        <f t="shared" si="54"/>
        <v>243</v>
      </c>
      <c r="AW33" s="15">
        <f t="shared" si="54"/>
        <v>243</v>
      </c>
      <c r="AX33" s="15">
        <f t="shared" si="54"/>
        <v>0</v>
      </c>
      <c r="AY33" s="15">
        <f t="shared" si="54"/>
        <v>0</v>
      </c>
      <c r="AZ33" s="15">
        <f t="shared" si="54"/>
        <v>400</v>
      </c>
      <c r="BA33" s="15">
        <f t="shared" si="54"/>
        <v>0</v>
      </c>
      <c r="BB33" s="15">
        <f t="shared" si="54"/>
        <v>0</v>
      </c>
      <c r="BC33" s="15">
        <f t="shared" si="54"/>
        <v>0</v>
      </c>
      <c r="BD33" s="15">
        <f t="shared" si="54"/>
        <v>0</v>
      </c>
      <c r="BE33" s="15">
        <f t="shared" si="54"/>
        <v>0</v>
      </c>
      <c r="BF33" s="15">
        <f t="shared" si="54"/>
        <v>0</v>
      </c>
      <c r="BG33" s="6"/>
      <c r="BH33" s="56"/>
      <c r="BI33" s="130" t="s">
        <v>1198</v>
      </c>
      <c r="BP33" s="4" t="s">
        <v>688</v>
      </c>
      <c r="BQ33" s="4"/>
      <c r="BR33" s="6" t="str">
        <f t="shared" si="63"/>
        <v>Classic Maple 15x16 Floor Tom</v>
      </c>
      <c r="BS33" s="4" t="s">
        <v>688</v>
      </c>
      <c r="BT33" s="71"/>
      <c r="BU33" s="4"/>
      <c r="BV33" s="6" t="str">
        <f t="shared" si="64"/>
        <v>Legacy Maple 15x16 Floor Tom</v>
      </c>
      <c r="BW33" s="4" t="s">
        <v>688</v>
      </c>
      <c r="BX33" s="67"/>
      <c r="BY33" s="4"/>
      <c r="BZ33" s="6" t="str">
        <f t="shared" si="67"/>
        <v>Legacy Mahogany 15x16 Floor Tom</v>
      </c>
      <c r="CA33" s="4" t="s">
        <v>688</v>
      </c>
      <c r="CB33" s="67"/>
      <c r="CC33" s="4"/>
      <c r="CD33" s="6" t="str">
        <f t="shared" si="65"/>
        <v>Legacy Exotic 15x16 Floor Tom</v>
      </c>
      <c r="CE33" s="4" t="s">
        <v>688</v>
      </c>
      <c r="CF33" s="70"/>
      <c r="CG33" s="23" t="s">
        <v>698</v>
      </c>
      <c r="CH33" s="4" t="s">
        <v>688</v>
      </c>
      <c r="CI33" s="70"/>
      <c r="CJ33" s="4"/>
      <c r="CK33" s="90"/>
      <c r="CL33" s="157"/>
      <c r="CM33" s="157"/>
      <c r="CN33" s="157"/>
      <c r="CO33" s="157"/>
      <c r="CP33" s="157"/>
      <c r="CQ33" s="157"/>
      <c r="CS33" s="157"/>
      <c r="CT33" s="157"/>
      <c r="CU33" s="4">
        <f t="shared" si="66"/>
        <v>0</v>
      </c>
      <c r="CV33" s="93" t="s">
        <v>715</v>
      </c>
      <c r="CW33" s="93" t="s">
        <v>716</v>
      </c>
      <c r="CX33" s="93" t="s">
        <v>717</v>
      </c>
      <c r="CY33" s="93" t="s">
        <v>718</v>
      </c>
      <c r="CZ33" s="93" t="s">
        <v>719</v>
      </c>
      <c r="DA33" s="70"/>
      <c r="DB33" s="13" t="s">
        <v>53</v>
      </c>
      <c r="DC33" s="16" t="str">
        <f t="shared" si="2"/>
        <v>Floor.16x18 Floor Tom</v>
      </c>
      <c r="DD33" s="4" t="s">
        <v>720</v>
      </c>
      <c r="DE33" s="69" t="str">
        <f t="shared" si="68"/>
        <v>MLLCLLLILT</v>
      </c>
      <c r="DF33" s="13" t="s">
        <v>78</v>
      </c>
      <c r="DG33" s="13" t="s">
        <v>79</v>
      </c>
      <c r="DH33" s="13" t="s">
        <v>69</v>
      </c>
      <c r="DI33" s="13" t="s">
        <v>80</v>
      </c>
      <c r="DJ33" s="13" t="s">
        <v>81</v>
      </c>
      <c r="DK33" s="13"/>
      <c r="DL33" s="13"/>
      <c r="DM33" s="13"/>
      <c r="DN33" s="81" t="s">
        <v>721</v>
      </c>
      <c r="DR33" s="31"/>
      <c r="DW33" t="s">
        <v>722</v>
      </c>
      <c r="DX33" s="66">
        <f>CS111</f>
        <v>0</v>
      </c>
      <c r="DY33" s="71" t="s">
        <v>143</v>
      </c>
      <c r="DZ33" s="13">
        <v>0</v>
      </c>
      <c r="EA33" s="13"/>
      <c r="EB33" s="13"/>
      <c r="EC33" s="16"/>
      <c r="ED33" s="26"/>
      <c r="EE33" s="26"/>
      <c r="EH33" s="24"/>
      <c r="EJ33" s="24"/>
      <c r="EK33" s="24"/>
      <c r="EL33" s="24"/>
      <c r="EM33" s="24"/>
      <c r="EN33" s="24"/>
      <c r="EO33" s="24"/>
      <c r="EP33" s="24"/>
      <c r="EQ33" s="24"/>
      <c r="ER33" s="24"/>
      <c r="ES33" s="24"/>
      <c r="EU33" s="26"/>
      <c r="EX33" s="27"/>
      <c r="EY33" s="18"/>
      <c r="FA33" s="69"/>
      <c r="FB33" t="s">
        <v>723</v>
      </c>
      <c r="FD33" t="s">
        <v>724</v>
      </c>
      <c r="FK33" s="73">
        <v>33</v>
      </c>
      <c r="FL33" s="13" t="str">
        <f t="shared" si="60"/>
        <v>FT Count</v>
      </c>
      <c r="FM33" s="7">
        <f t="shared" si="69"/>
        <v>0</v>
      </c>
      <c r="FN33" s="13"/>
      <c r="FO33" s="7" t="str">
        <f>D33</f>
        <v>Batter Head</v>
      </c>
      <c r="FP33" t="str">
        <f t="shared" si="70"/>
        <v>Clear Emperor</v>
      </c>
      <c r="FQ33" t="str">
        <f t="shared" si="71"/>
        <v>Change to</v>
      </c>
      <c r="FR33">
        <f t="shared" si="71"/>
        <v>0</v>
      </c>
      <c r="GG33" s="69"/>
      <c r="GS33" s="14"/>
    </row>
    <row r="34" spans="1:216" x14ac:dyDescent="0.3">
      <c r="A34" s="29" t="s">
        <v>694</v>
      </c>
      <c r="B34" s="112">
        <f>COUNTIF($B$8:$B$20,"Tom")</f>
        <v>0</v>
      </c>
      <c r="C34" s="50"/>
      <c r="D34" s="30" t="s">
        <v>725</v>
      </c>
      <c r="E34" s="13" t="str">
        <f>IF(G36= "Single","Forget it", "Clear Ambassador")</f>
        <v>Clear Ambassador</v>
      </c>
      <c r="F34" s="13" t="s">
        <v>599</v>
      </c>
      <c r="H34" s="1"/>
      <c r="J34" s="1"/>
      <c r="K34" s="43"/>
      <c r="L34" s="43"/>
      <c r="M34" s="4"/>
      <c r="N34" s="188"/>
      <c r="O34" s="222" t="e">
        <f>CONCATENATE("LT ",INDEX($AC$2:$AF$7,MATCH($C$2,$AE$2:$AE$7,0),1)," ",$CK$1)</f>
        <v>#N/A</v>
      </c>
      <c r="P34" s="195">
        <f>IFERROR(INDEX($CU:$DB,MATCH($O34,$CU:$CU,0),MATCH("Retail",$CU$107:$DC$107,0)),0)</f>
        <v>0</v>
      </c>
      <c r="Q34" s="195">
        <f>IFERROR(INDEX($CU:$DF,MATCH($O34,$CU:$CU,0),MATCH($L$1,$CU$105:$DF$105,0)),0)</f>
        <v>0</v>
      </c>
      <c r="R34" s="29"/>
      <c r="S34" s="173"/>
      <c r="T34" s="173"/>
      <c r="U34" s="173"/>
      <c r="V34" s="173"/>
      <c r="AE34" s="47" t="s">
        <v>407</v>
      </c>
      <c r="AF34" s="10" t="s">
        <v>679</v>
      </c>
      <c r="AG34" s="56" t="s">
        <v>570</v>
      </c>
      <c r="AH34" s="66" t="s">
        <v>113</v>
      </c>
      <c r="AI34" s="26" t="s">
        <v>114</v>
      </c>
      <c r="AJ34" s="104" t="s">
        <v>115</v>
      </c>
      <c r="AK34" s="105" t="s">
        <v>570</v>
      </c>
      <c r="AL34" s="6"/>
      <c r="AM34" s="144" t="s">
        <v>569</v>
      </c>
      <c r="AN34" s="6"/>
      <c r="AO34" s="6"/>
      <c r="AP34" s="6"/>
      <c r="AQ34" s="6"/>
      <c r="AR34" s="6"/>
      <c r="AT34" s="90" t="s">
        <v>726</v>
      </c>
      <c r="AU34" s="15">
        <f t="shared" si="54"/>
        <v>186</v>
      </c>
      <c r="AV34" s="15">
        <f t="shared" si="54"/>
        <v>186</v>
      </c>
      <c r="AW34" s="15">
        <f t="shared" si="54"/>
        <v>186</v>
      </c>
      <c r="AX34" s="15">
        <f t="shared" si="54"/>
        <v>0</v>
      </c>
      <c r="AY34" s="15">
        <f t="shared" si="54"/>
        <v>0</v>
      </c>
      <c r="AZ34" s="15">
        <f t="shared" si="54"/>
        <v>400</v>
      </c>
      <c r="BA34" s="15">
        <f t="shared" si="54"/>
        <v>0</v>
      </c>
      <c r="BB34" s="15">
        <f t="shared" si="54"/>
        <v>0</v>
      </c>
      <c r="BC34" s="15">
        <f t="shared" si="54"/>
        <v>0</v>
      </c>
      <c r="BD34" s="15">
        <f t="shared" si="54"/>
        <v>0</v>
      </c>
      <c r="BE34" s="15">
        <f t="shared" si="54"/>
        <v>0</v>
      </c>
      <c r="BF34" s="15">
        <f t="shared" si="54"/>
        <v>0</v>
      </c>
      <c r="BG34" s="6"/>
      <c r="BH34" s="56"/>
      <c r="BI34" s="1" t="s">
        <v>443</v>
      </c>
      <c r="BP34" s="4" t="s">
        <v>704</v>
      </c>
      <c r="BQ34" s="4"/>
      <c r="BR34" s="6" t="str">
        <f t="shared" si="63"/>
        <v>Classic Maple 16x16 Floor Tom</v>
      </c>
      <c r="BS34" s="4" t="s">
        <v>704</v>
      </c>
      <c r="BT34" s="71"/>
      <c r="BU34" s="4"/>
      <c r="BV34" s="6" t="str">
        <f t="shared" si="64"/>
        <v>Legacy Maple 16x16 Floor Tom</v>
      </c>
      <c r="BW34" s="4" t="s">
        <v>704</v>
      </c>
      <c r="BX34" s="67"/>
      <c r="BY34" s="4"/>
      <c r="BZ34" s="6" t="str">
        <f t="shared" si="67"/>
        <v>Legacy Mahogany 16x16 Floor Tom</v>
      </c>
      <c r="CA34" s="4" t="s">
        <v>704</v>
      </c>
      <c r="CB34" s="67"/>
      <c r="CC34" s="4"/>
      <c r="CD34" s="6" t="str">
        <f t="shared" si="65"/>
        <v>Legacy Exotic 16x16 Floor Tom</v>
      </c>
      <c r="CE34" s="4" t="s">
        <v>704</v>
      </c>
      <c r="CF34" s="70"/>
      <c r="CG34" s="23" t="s">
        <v>714</v>
      </c>
      <c r="CH34" s="4" t="s">
        <v>704</v>
      </c>
      <c r="CI34" s="70"/>
      <c r="CJ34" s="4"/>
      <c r="CK34" s="90"/>
      <c r="CL34" s="157"/>
      <c r="CM34" s="157"/>
      <c r="CN34" s="157"/>
      <c r="CO34" s="157"/>
      <c r="CP34" s="157"/>
      <c r="CQ34" s="157"/>
      <c r="CS34" s="157"/>
      <c r="CT34" s="70"/>
      <c r="CU34" s="4">
        <f t="shared" si="66"/>
        <v>0</v>
      </c>
      <c r="CV34" s="93" t="s">
        <v>727</v>
      </c>
      <c r="CW34" s="93" t="s">
        <v>728</v>
      </c>
      <c r="CX34" s="93" t="s">
        <v>729</v>
      </c>
      <c r="CY34" s="93" t="s">
        <v>730</v>
      </c>
      <c r="CZ34" s="93" t="s">
        <v>731</v>
      </c>
      <c r="DA34" s="70"/>
      <c r="DB34" s="13" t="s">
        <v>54</v>
      </c>
      <c r="DC34" s="16" t="str">
        <f t="shared" si="2"/>
        <v>Tom.10x12 Tom Tom</v>
      </c>
      <c r="DD34" s="4" t="s">
        <v>732</v>
      </c>
      <c r="DE34" s="69" t="str">
        <f t="shared" si="68"/>
        <v>MLLCLL</v>
      </c>
      <c r="DF34" s="13" t="s">
        <v>78</v>
      </c>
      <c r="DG34" s="13" t="s">
        <v>79</v>
      </c>
      <c r="DH34" s="13" t="s">
        <v>69</v>
      </c>
      <c r="DI34" s="13"/>
      <c r="DK34" s="13"/>
      <c r="DL34" s="13"/>
      <c r="DM34" s="13"/>
      <c r="DN34" s="81" t="s">
        <v>733</v>
      </c>
      <c r="DR34" s="31"/>
      <c r="DW34" t="s">
        <v>734</v>
      </c>
      <c r="DX34" s="66">
        <f>CS112</f>
        <v>0</v>
      </c>
      <c r="DY34" s="71" t="s">
        <v>143</v>
      </c>
      <c r="DZ34" s="13">
        <v>0</v>
      </c>
      <c r="EA34" s="13"/>
      <c r="EB34" s="13"/>
      <c r="EC34" s="16"/>
      <c r="ED34" s="26"/>
      <c r="EE34" s="26"/>
      <c r="EF34" s="24"/>
      <c r="EH34" s="24"/>
      <c r="EJ34" s="24"/>
      <c r="EK34" s="24"/>
      <c r="EL34" s="24"/>
      <c r="EM34" s="24"/>
      <c r="EN34" s="24"/>
      <c r="EO34" s="24"/>
      <c r="EP34" s="24"/>
      <c r="EQ34" s="24"/>
      <c r="ER34" s="24"/>
      <c r="ES34" s="24"/>
      <c r="EU34" s="26"/>
      <c r="EX34" s="27"/>
      <c r="EY34" s="18"/>
      <c r="FA34" s="69"/>
      <c r="FB34" s="34"/>
      <c r="FK34" s="73">
        <v>34</v>
      </c>
      <c r="FL34" s="13" t="str">
        <f t="shared" si="60"/>
        <v>TT Count</v>
      </c>
      <c r="FM34" s="7">
        <f t="shared" si="69"/>
        <v>0</v>
      </c>
      <c r="FN34" s="13"/>
      <c r="FO34" s="7" t="str">
        <f>D34</f>
        <v>Bottom Head</v>
      </c>
      <c r="FP34" t="str">
        <f t="shared" si="70"/>
        <v>Clear Ambassador</v>
      </c>
      <c r="FQ34" t="str">
        <f t="shared" si="71"/>
        <v>No Option</v>
      </c>
      <c r="FR34">
        <f t="shared" si="71"/>
        <v>0</v>
      </c>
      <c r="GS34" s="14"/>
      <c r="GT34" s="15"/>
      <c r="GU34" s="15"/>
      <c r="GV34" s="15"/>
      <c r="GW34" s="15"/>
      <c r="GX34" s="15"/>
      <c r="GY34" s="15"/>
      <c r="GZ34" s="15"/>
      <c r="HA34" s="15"/>
      <c r="HB34" s="15"/>
      <c r="HC34" s="15"/>
      <c r="HD34" s="15"/>
      <c r="HE34" s="15"/>
      <c r="HF34" s="15"/>
      <c r="HG34" s="11"/>
      <c r="HH34" s="11"/>
    </row>
    <row r="35" spans="1:216" x14ac:dyDescent="0.3">
      <c r="A35" s="29"/>
      <c r="B35" s="29"/>
      <c r="C35" s="50"/>
      <c r="D35" s="30" t="s">
        <v>646</v>
      </c>
      <c r="E35" s="13" t="str">
        <f>IFERROR(INDEX($ER$5:$ET$9,MATCH($C$2,$ER$5:$ER$9,0),3),"")</f>
        <v/>
      </c>
      <c r="F35" s="13" t="str">
        <f>IF($C$2&lt;&gt;"Classic Maple","No Option","Change to")</f>
        <v>No Option</v>
      </c>
      <c r="G35" s="115"/>
      <c r="H35" s="130" t="str">
        <f ca="1">IF($G$35="","",IF(ISERROR(MATCH($G$35,INDIRECT(B29),0))=FALSE,"","Invalid Selection"))</f>
        <v/>
      </c>
      <c r="J35" s="1"/>
      <c r="K35" s="43"/>
      <c r="L35" s="43"/>
      <c r="M35" s="4"/>
      <c r="N35" s="188"/>
      <c r="O35" s="222" t="e">
        <f>CONCATENATE("LT ",INDEX($AC$2:$AF$7,MATCH($C$2,$AE$2:$AE$7,0),1)," ",$CK$1)</f>
        <v>#N/A</v>
      </c>
      <c r="P35" s="195">
        <f>IFERROR(INDEX($CU:$DB,MATCH($O35,$CU:$CU,0),MATCH("Retail",$CU$107:$DC$107,0)),0)</f>
        <v>0</v>
      </c>
      <c r="Q35" s="195">
        <f>IFERROR(INDEX($CU:$DF,MATCH($O35,$CU:$CU,0),MATCH($L$1,$CU$105:$DF$105,0)),0)</f>
        <v>0</v>
      </c>
      <c r="R35" s="29"/>
      <c r="T35" s="173"/>
      <c r="AE35" s="47" t="s">
        <v>356</v>
      </c>
      <c r="AF35" s="10" t="s">
        <v>735</v>
      </c>
      <c r="AG35" s="56" t="s">
        <v>585</v>
      </c>
      <c r="AH35" s="66" t="s">
        <v>113</v>
      </c>
      <c r="AI35" s="26" t="s">
        <v>114</v>
      </c>
      <c r="AJ35" s="104" t="s">
        <v>115</v>
      </c>
      <c r="AK35" s="105" t="s">
        <v>585</v>
      </c>
      <c r="AL35" s="6"/>
      <c r="AM35" s="144"/>
      <c r="AN35" s="6"/>
      <c r="AO35" s="6"/>
      <c r="AP35" s="6"/>
      <c r="AQ35" s="6"/>
      <c r="AR35" s="6"/>
      <c r="AT35" s="90" t="s">
        <v>736</v>
      </c>
      <c r="AU35" s="15">
        <f t="shared" si="54"/>
        <v>405</v>
      </c>
      <c r="AV35" s="15">
        <f t="shared" si="54"/>
        <v>405</v>
      </c>
      <c r="AW35" s="15">
        <f t="shared" si="54"/>
        <v>405</v>
      </c>
      <c r="AX35" s="15">
        <f t="shared" si="54"/>
        <v>0</v>
      </c>
      <c r="AY35" s="15">
        <f t="shared" si="54"/>
        <v>9999</v>
      </c>
      <c r="AZ35" s="15">
        <f t="shared" si="54"/>
        <v>9999</v>
      </c>
      <c r="BA35" s="15">
        <f t="shared" si="54"/>
        <v>9999</v>
      </c>
      <c r="BB35" s="15">
        <f t="shared" si="54"/>
        <v>9999</v>
      </c>
      <c r="BC35" s="15">
        <f t="shared" si="54"/>
        <v>9999</v>
      </c>
      <c r="BD35" s="15">
        <f t="shared" si="54"/>
        <v>9999</v>
      </c>
      <c r="BE35" s="15">
        <f t="shared" si="54"/>
        <v>9999</v>
      </c>
      <c r="BF35" s="15">
        <f t="shared" si="54"/>
        <v>9999</v>
      </c>
      <c r="BG35" s="6"/>
      <c r="BH35" s="56"/>
      <c r="BI35" s="1" t="s">
        <v>442</v>
      </c>
      <c r="BM35" s="15"/>
      <c r="BP35" s="4" t="s">
        <v>720</v>
      </c>
      <c r="BQ35" s="4"/>
      <c r="BR35" s="6" t="str">
        <f t="shared" si="63"/>
        <v>Classic Maple 16x18 Floor Tom</v>
      </c>
      <c r="BS35" s="4" t="s">
        <v>720</v>
      </c>
      <c r="BT35" s="71"/>
      <c r="BU35" s="4"/>
      <c r="BV35" s="6" t="str">
        <f t="shared" si="64"/>
        <v>Legacy Maple 16x18 Floor Tom</v>
      </c>
      <c r="BW35" s="4" t="s">
        <v>720</v>
      </c>
      <c r="BX35" s="67"/>
      <c r="BY35" s="4"/>
      <c r="BZ35" s="6" t="str">
        <f t="shared" si="67"/>
        <v>Legacy Mahogany 16x18 Floor Tom</v>
      </c>
      <c r="CA35" s="4" t="s">
        <v>720</v>
      </c>
      <c r="CB35" s="67"/>
      <c r="CC35" s="4"/>
      <c r="CD35" s="6" t="str">
        <f t="shared" si="65"/>
        <v>Legacy Exotic 16x18 Floor Tom</v>
      </c>
      <c r="CE35" s="4" t="s">
        <v>720</v>
      </c>
      <c r="CF35" s="70"/>
      <c r="CG35" s="23" t="s">
        <v>726</v>
      </c>
      <c r="CH35" s="4" t="s">
        <v>720</v>
      </c>
      <c r="CI35" s="70"/>
      <c r="CJ35" s="4"/>
      <c r="CK35" s="90"/>
      <c r="CL35" s="157"/>
      <c r="CM35" s="157"/>
      <c r="CN35" s="157"/>
      <c r="CO35" s="157"/>
      <c r="CP35" s="157"/>
      <c r="CQ35" s="157"/>
      <c r="CS35" s="157"/>
      <c r="CT35" s="70"/>
      <c r="CU35" s="4">
        <f t="shared" si="66"/>
        <v>0</v>
      </c>
      <c r="CV35" s="93" t="s">
        <v>737</v>
      </c>
      <c r="CW35" s="93" t="s">
        <v>738</v>
      </c>
      <c r="CX35" s="93" t="s">
        <v>739</v>
      </c>
      <c r="CY35" s="93" t="s">
        <v>740</v>
      </c>
      <c r="CZ35" s="93" t="s">
        <v>741</v>
      </c>
      <c r="DA35" s="70"/>
      <c r="DB35" s="13" t="s">
        <v>54</v>
      </c>
      <c r="DC35" s="16" t="str">
        <f t="shared" si="2"/>
        <v>Tom.10x13 Tom Tom</v>
      </c>
      <c r="DD35" s="4" t="s">
        <v>742</v>
      </c>
      <c r="DE35" s="69" t="str">
        <f t="shared" si="68"/>
        <v>MLLCLL</v>
      </c>
      <c r="DF35" s="13" t="s">
        <v>78</v>
      </c>
      <c r="DG35" s="13" t="s">
        <v>79</v>
      </c>
      <c r="DH35" s="13" t="s">
        <v>69</v>
      </c>
      <c r="DI35" s="13"/>
      <c r="DK35" s="13"/>
      <c r="DL35" s="13"/>
      <c r="DM35" s="13"/>
      <c r="DN35" s="81" t="s">
        <v>733</v>
      </c>
      <c r="DR35" s="31"/>
      <c r="DW35" t="s">
        <v>743</v>
      </c>
      <c r="DX35" s="66">
        <f>CS113</f>
        <v>0</v>
      </c>
      <c r="DY35" s="71" t="s">
        <v>143</v>
      </c>
      <c r="DZ35" s="13">
        <v>0</v>
      </c>
      <c r="EA35" s="13"/>
      <c r="EB35" s="13"/>
      <c r="EC35" s="16"/>
      <c r="ED35" s="26"/>
      <c r="EE35" s="26"/>
      <c r="EF35" s="24"/>
      <c r="EG35" s="4"/>
      <c r="EH35" s="24"/>
      <c r="EJ35" s="24"/>
      <c r="EK35" s="24"/>
      <c r="EL35" s="24"/>
      <c r="EM35" s="24"/>
      <c r="EN35" s="24"/>
      <c r="EO35" s="24"/>
      <c r="EP35" s="24"/>
      <c r="EQ35" s="24"/>
      <c r="ER35" s="24"/>
      <c r="ES35" s="24"/>
      <c r="EU35" s="26"/>
      <c r="EX35" s="27"/>
      <c r="EY35" s="18"/>
      <c r="FA35" s="69"/>
      <c r="FB35" s="34"/>
      <c r="FK35" s="73">
        <v>35</v>
      </c>
      <c r="FL35" s="13">
        <f t="shared" si="60"/>
        <v>0</v>
      </c>
      <c r="FM35" s="7">
        <f t="shared" si="69"/>
        <v>0</v>
      </c>
      <c r="FN35" s="13"/>
      <c r="FO35" s="7" t="str">
        <f>D35</f>
        <v>Bearing Edge</v>
      </c>
      <c r="FP35" t="str">
        <f t="shared" si="70"/>
        <v/>
      </c>
      <c r="FQ35" t="str">
        <f t="shared" si="71"/>
        <v>No Option</v>
      </c>
      <c r="FR35">
        <f t="shared" si="71"/>
        <v>0</v>
      </c>
      <c r="GS35" s="14"/>
      <c r="GT35" s="57">
        <v>8</v>
      </c>
      <c r="GU35" s="57">
        <v>9</v>
      </c>
      <c r="GV35" s="57">
        <v>10</v>
      </c>
      <c r="GW35" s="57">
        <v>11</v>
      </c>
      <c r="GX35" s="57">
        <v>12</v>
      </c>
      <c r="GY35" s="57">
        <v>13</v>
      </c>
      <c r="GZ35" s="57">
        <v>14</v>
      </c>
      <c r="HA35" s="57">
        <v>15</v>
      </c>
      <c r="HB35" s="57">
        <v>16</v>
      </c>
      <c r="HC35" s="57">
        <v>17</v>
      </c>
      <c r="HD35" s="57">
        <v>18</v>
      </c>
      <c r="HE35" s="57">
        <v>19</v>
      </c>
      <c r="HF35" s="57">
        <v>20</v>
      </c>
      <c r="HG35" s="11"/>
      <c r="HH35" s="11"/>
    </row>
    <row r="36" spans="1:216" ht="15" thickBot="1" x14ac:dyDescent="0.35">
      <c r="A36" s="29" t="str">
        <f>IF(GC22=1,"Double","DblSngl")</f>
        <v>Double</v>
      </c>
      <c r="B36" s="29" t="str">
        <f>IF(G36="Single","Single","Double")</f>
        <v>Double</v>
      </c>
      <c r="C36" s="51"/>
      <c r="D36" s="97" t="s">
        <v>660</v>
      </c>
      <c r="E36" s="13" t="s">
        <v>661</v>
      </c>
      <c r="F36" s="13" t="str">
        <f>IF(OR($C$2&lt;&gt;"Classic Maple",GC22=1),"No Option","Change to")</f>
        <v>No Option</v>
      </c>
      <c r="G36" s="115"/>
      <c r="H36" s="130" t="str">
        <f ca="1">IF($G$36="","",IF(ISERROR(MATCH($G$36,INDIRECT(A36),0))=FALSE,"","Invalid Selection"))</f>
        <v/>
      </c>
      <c r="J36" s="1"/>
      <c r="K36" s="43"/>
      <c r="L36" s="43"/>
      <c r="M36" s="4"/>
      <c r="N36" s="188"/>
      <c r="O36" s="222" t="e">
        <f>CONCATENATE("LT ",INDEX($AC$2:$AF$7,MATCH($C$2,$AE$2:$AE$7,0),1)," ",$CK$1)</f>
        <v>#N/A</v>
      </c>
      <c r="P36" s="195">
        <f>IFERROR(INDEX($CU:$DB,MATCH($O36,$CU:$CU,0),MATCH("Retail",$CU$107:$DC$107,0)),0)</f>
        <v>0</v>
      </c>
      <c r="Q36" s="195">
        <f>IFERROR(INDEX($CU:$DF,MATCH($O36,$CU:$CU,0),MATCH($L$1,$CU$105:$DF$105,0)),0)</f>
        <v>0</v>
      </c>
      <c r="R36" s="29"/>
      <c r="S36" s="173"/>
      <c r="T36" s="173"/>
      <c r="U36" s="173"/>
      <c r="V36" s="173"/>
      <c r="AE36" s="47" t="s">
        <v>374</v>
      </c>
      <c r="AF36" s="10" t="s">
        <v>735</v>
      </c>
      <c r="AG36" s="56" t="s">
        <v>571</v>
      </c>
      <c r="AH36" s="66" t="s">
        <v>377</v>
      </c>
      <c r="AI36" s="26" t="s">
        <v>154</v>
      </c>
      <c r="AJ36" s="104" t="s">
        <v>266</v>
      </c>
      <c r="AK36" s="105" t="s">
        <v>617</v>
      </c>
      <c r="AL36" s="6"/>
      <c r="AM36" s="144" t="s">
        <v>492</v>
      </c>
      <c r="AN36" s="6"/>
      <c r="AO36" s="6"/>
      <c r="AP36" s="6"/>
      <c r="AQ36" s="6"/>
      <c r="AR36" s="6"/>
      <c r="AT36" s="90" t="s">
        <v>744</v>
      </c>
      <c r="AU36" s="15">
        <f t="shared" si="54"/>
        <v>405</v>
      </c>
      <c r="AV36" s="15">
        <f t="shared" si="54"/>
        <v>405</v>
      </c>
      <c r="AW36" s="15">
        <f t="shared" si="54"/>
        <v>405</v>
      </c>
      <c r="AX36" s="15">
        <f t="shared" si="54"/>
        <v>0</v>
      </c>
      <c r="AY36" s="15">
        <f t="shared" si="54"/>
        <v>9999</v>
      </c>
      <c r="AZ36" s="15">
        <f t="shared" si="54"/>
        <v>9999</v>
      </c>
      <c r="BA36" s="15">
        <f t="shared" si="54"/>
        <v>9999</v>
      </c>
      <c r="BB36" s="15">
        <f t="shared" si="54"/>
        <v>9999</v>
      </c>
      <c r="BC36" s="15">
        <f t="shared" si="54"/>
        <v>9999</v>
      </c>
      <c r="BD36" s="15">
        <f t="shared" si="54"/>
        <v>9999</v>
      </c>
      <c r="BE36" s="15">
        <f t="shared" si="54"/>
        <v>9999</v>
      </c>
      <c r="BF36" s="15">
        <f t="shared" si="54"/>
        <v>9999</v>
      </c>
      <c r="BG36" s="6"/>
      <c r="BH36" s="56"/>
      <c r="BI36" s="1" t="s">
        <v>458</v>
      </c>
      <c r="BM36" s="1"/>
      <c r="BR36" s="7"/>
      <c r="BS36" s="4"/>
      <c r="BT36" s="71"/>
      <c r="BU36" s="4"/>
      <c r="BV36" s="4"/>
      <c r="BW36" s="4"/>
      <c r="BX36" s="10"/>
      <c r="BY36" s="4"/>
      <c r="BZ36" s="4"/>
      <c r="CA36" s="4"/>
      <c r="CB36" s="4"/>
      <c r="CC36" s="4"/>
      <c r="CD36" s="4"/>
      <c r="CE36" s="4"/>
      <c r="CF36" s="43"/>
      <c r="CG36" s="43"/>
      <c r="CH36" s="43"/>
      <c r="CI36" s="43"/>
      <c r="CJ36"/>
      <c r="CK36" s="90"/>
      <c r="CL36" s="43"/>
      <c r="CM36" s="43"/>
      <c r="CN36" s="43"/>
      <c r="CO36" s="43"/>
      <c r="CP36" s="43"/>
      <c r="CQ36" s="157"/>
      <c r="CS36" s="157"/>
      <c r="CT36" s="70"/>
      <c r="CU36"/>
      <c r="CV36" s="43"/>
      <c r="CW36" s="43"/>
      <c r="CX36" s="43"/>
      <c r="CY36" s="43"/>
      <c r="CZ36" s="43"/>
      <c r="DA36" s="43"/>
      <c r="DB36" s="13" t="s">
        <v>54</v>
      </c>
      <c r="DC36" s="16" t="str">
        <f t="shared" si="2"/>
        <v>Tom.10x14 Tom Tom</v>
      </c>
      <c r="DD36" s="4" t="s">
        <v>745</v>
      </c>
      <c r="DE36" s="69" t="str">
        <f t="shared" si="68"/>
        <v>MLLCLL</v>
      </c>
      <c r="DF36" s="13" t="s">
        <v>78</v>
      </c>
      <c r="DG36" s="13" t="s">
        <v>79</v>
      </c>
      <c r="DH36" s="13" t="s">
        <v>69</v>
      </c>
      <c r="DI36" s="13"/>
      <c r="DK36" s="13"/>
      <c r="DL36" s="13"/>
      <c r="DM36" s="13"/>
      <c r="DN36" s="81" t="s">
        <v>733</v>
      </c>
      <c r="DR36" s="31"/>
      <c r="DW36" t="s">
        <v>746</v>
      </c>
      <c r="DX36" s="66">
        <f>CS114</f>
        <v>0</v>
      </c>
      <c r="DY36" s="71" t="s">
        <v>143</v>
      </c>
      <c r="DZ36" s="13">
        <v>0</v>
      </c>
      <c r="EA36" s="13"/>
      <c r="EB36" s="13"/>
      <c r="EC36" s="16"/>
      <c r="ED36" s="26"/>
      <c r="EE36" s="26"/>
      <c r="EF36" s="24"/>
      <c r="EG36" s="24"/>
      <c r="EH36" s="24"/>
      <c r="EJ36" s="24"/>
      <c r="EK36" s="24"/>
      <c r="EL36" s="24"/>
      <c r="EM36" s="24"/>
      <c r="EN36" s="24"/>
      <c r="EO36" s="24"/>
      <c r="EP36" s="24"/>
      <c r="EQ36" s="24"/>
      <c r="ER36" s="24"/>
      <c r="ES36" s="24"/>
      <c r="EU36" s="26"/>
      <c r="EX36" s="27"/>
      <c r="EY36" s="18"/>
      <c r="FA36" s="69"/>
      <c r="FB36" s="34"/>
      <c r="FK36" s="73">
        <v>36</v>
      </c>
      <c r="FL36" s="13" t="str">
        <f t="shared" si="60"/>
        <v>Double</v>
      </c>
      <c r="FM36" s="7" t="str">
        <f t="shared" si="69"/>
        <v>Double</v>
      </c>
      <c r="FN36" s="13"/>
      <c r="FO36" s="7" t="str">
        <f>D36</f>
        <v>Double / Single Head</v>
      </c>
      <c r="FP36" t="str">
        <f t="shared" si="70"/>
        <v>Double</v>
      </c>
      <c r="FQ36" t="str">
        <f t="shared" si="71"/>
        <v>No Option</v>
      </c>
      <c r="FR36">
        <f t="shared" si="71"/>
        <v>0</v>
      </c>
      <c r="GT36" s="57">
        <f>IF(AND(SUM(GU5:$HF$5)=0,GT5=""), 0,1)</f>
        <v>0</v>
      </c>
      <c r="GU36" s="57">
        <f>IF(AND(SUM(GV5:$HF$5)=0,GU5=""), 0,1)</f>
        <v>0</v>
      </c>
      <c r="GV36" s="57">
        <f>IF(AND(SUM(GW5:$HF$5)=0,GV5=""), 0,1)</f>
        <v>0</v>
      </c>
      <c r="GW36" s="57">
        <f>IF(AND(SUM(GX5:$HF$5)=0,GW5=""), 0,1)</f>
        <v>0</v>
      </c>
      <c r="GX36" s="57">
        <f>IF(AND(SUM(GY5:$HF$5)=0,GX5=""), 0,1)</f>
        <v>0</v>
      </c>
      <c r="GY36" s="57">
        <f>IF(AND(SUM(GZ5:$HF$5)=0,GY5=""), 0,1)</f>
        <v>0</v>
      </c>
      <c r="GZ36" s="57">
        <f>IF(AND(SUM(HA5:$HF$5)=0,GZ5=""), 0,1)</f>
        <v>0</v>
      </c>
      <c r="HA36" s="57">
        <f>IF(AND(SUM(HB5:$HF$5)=0,HA5=""), 0,1)</f>
        <v>0</v>
      </c>
      <c r="HB36" s="57">
        <f>IF(AND(SUM(HC5:$HF$5)=0,HB5=""), 0,1)</f>
        <v>0</v>
      </c>
      <c r="HC36" s="57">
        <f>IF(AND(SUM(HD5:$HF$5)=0,HC5=""), 0,1)</f>
        <v>0</v>
      </c>
      <c r="HD36" s="57">
        <f>IF(AND(SUM(HE5:$HF$5)=0,HD5=""), 0,1)</f>
        <v>0</v>
      </c>
      <c r="HE36" s="57">
        <f>IF(AND(SUM(HF5:$HF$5)=0,HE5=""), 0,1)</f>
        <v>0</v>
      </c>
      <c r="HF36" s="57">
        <f>IF(AND(SUM($HF5:HG$5)=0,HF5=""), 0,1)</f>
        <v>0</v>
      </c>
      <c r="HG36" s="15"/>
      <c r="HH36" s="11"/>
    </row>
    <row r="37" spans="1:216" ht="24.6" customHeight="1" thickBot="1" x14ac:dyDescent="0.45">
      <c r="E37" s="142" t="s">
        <v>506</v>
      </c>
      <c r="G37" s="143" t="s">
        <v>507</v>
      </c>
      <c r="L37" s="4"/>
      <c r="M37" s="4"/>
      <c r="N37" s="4"/>
      <c r="O37" s="188"/>
      <c r="R37" s="29"/>
      <c r="T37" s="173"/>
      <c r="AE37" s="47" t="s">
        <v>747</v>
      </c>
      <c r="AF37" s="10" t="s">
        <v>735</v>
      </c>
      <c r="AG37" s="56" t="s">
        <v>617</v>
      </c>
      <c r="AH37" s="66" t="s">
        <v>113</v>
      </c>
      <c r="AI37" s="26" t="s">
        <v>114</v>
      </c>
      <c r="AJ37" s="104" t="s">
        <v>115</v>
      </c>
      <c r="AK37" s="105" t="s">
        <v>617</v>
      </c>
      <c r="AL37" s="6"/>
      <c r="AM37" s="144"/>
      <c r="AN37" s="6"/>
      <c r="AO37" s="6"/>
      <c r="AP37" s="6"/>
      <c r="AQ37" s="6"/>
      <c r="AR37" s="6"/>
      <c r="AT37" s="90" t="s">
        <v>748</v>
      </c>
      <c r="AU37" s="15">
        <f t="shared" ref="AU37:BF52" si="72">IFERROR(INDEX($AT$81:$BA$972,MATCH(CONCATENATE($AT37,".",AU$3),$AT$81:$AT$972,0),6),9999)</f>
        <v>405</v>
      </c>
      <c r="AV37" s="15">
        <f t="shared" si="72"/>
        <v>405</v>
      </c>
      <c r="AW37" s="15">
        <f t="shared" si="72"/>
        <v>405</v>
      </c>
      <c r="AX37" s="15">
        <f t="shared" si="72"/>
        <v>0</v>
      </c>
      <c r="AY37" s="15">
        <f t="shared" si="72"/>
        <v>9999</v>
      </c>
      <c r="AZ37" s="15">
        <f t="shared" si="72"/>
        <v>9999</v>
      </c>
      <c r="BA37" s="15">
        <f t="shared" si="72"/>
        <v>9999</v>
      </c>
      <c r="BB37" s="15">
        <f t="shared" si="72"/>
        <v>9999</v>
      </c>
      <c r="BC37" s="15">
        <f t="shared" si="72"/>
        <v>9999</v>
      </c>
      <c r="BD37" s="15">
        <f t="shared" si="72"/>
        <v>9999</v>
      </c>
      <c r="BE37" s="15">
        <f t="shared" si="72"/>
        <v>0</v>
      </c>
      <c r="BF37" s="15">
        <f t="shared" si="72"/>
        <v>0</v>
      </c>
      <c r="BG37" s="6"/>
      <c r="BH37" s="56"/>
      <c r="BI37" s="1" t="s">
        <v>457</v>
      </c>
      <c r="BM37" s="1"/>
      <c r="BR37" s="7"/>
      <c r="CJ37"/>
      <c r="CK37" s="90"/>
      <c r="CQ37" s="157"/>
      <c r="CS37" s="157"/>
      <c r="CT37" s="70"/>
      <c r="CU37"/>
      <c r="DB37" s="13" t="s">
        <v>54</v>
      </c>
      <c r="DC37" s="16" t="str">
        <f t="shared" si="2"/>
        <v>Tom.11x12 Tom Tom</v>
      </c>
      <c r="DD37" s="4" t="s">
        <v>749</v>
      </c>
      <c r="DE37" s="69" t="str">
        <f t="shared" si="68"/>
        <v>MLLCLL</v>
      </c>
      <c r="DF37" s="13" t="s">
        <v>78</v>
      </c>
      <c r="DG37" s="13" t="s">
        <v>79</v>
      </c>
      <c r="DH37" s="13" t="s">
        <v>69</v>
      </c>
      <c r="DI37" s="13"/>
      <c r="DK37" s="13"/>
      <c r="DL37" s="13"/>
      <c r="DM37" s="13"/>
      <c r="DN37" s="81" t="s">
        <v>733</v>
      </c>
      <c r="DR37" s="31"/>
      <c r="DX37" s="66"/>
      <c r="DZ37" s="13"/>
      <c r="EA37" s="13"/>
      <c r="EB37" s="13"/>
      <c r="EC37" s="16"/>
      <c r="ED37" s="26"/>
      <c r="EE37" s="26"/>
      <c r="EF37" s="24"/>
      <c r="EG37" s="24"/>
      <c r="EH37" s="24"/>
      <c r="EJ37" s="24"/>
      <c r="EK37" s="24"/>
      <c r="EL37" s="24"/>
      <c r="EM37" s="24"/>
      <c r="EN37" s="24"/>
      <c r="EO37" s="24"/>
      <c r="EP37" s="24"/>
      <c r="EQ37" s="24"/>
      <c r="ER37" s="24"/>
      <c r="ES37" s="24"/>
      <c r="EU37" s="26"/>
      <c r="EX37" s="27"/>
      <c r="EY37" s="69" t="s">
        <v>28</v>
      </c>
      <c r="EZ37" s="13" t="s">
        <v>76</v>
      </c>
      <c r="FA37" s="13" t="s">
        <v>750</v>
      </c>
      <c r="FB37" s="13" t="s">
        <v>60</v>
      </c>
      <c r="FC37" s="34" t="s">
        <v>641</v>
      </c>
      <c r="FH37" t="s">
        <v>77</v>
      </c>
      <c r="FI37" s="66" t="s">
        <v>751</v>
      </c>
      <c r="FK37" s="73">
        <v>37</v>
      </c>
      <c r="FL37" s="13">
        <f t="shared" si="60"/>
        <v>0</v>
      </c>
      <c r="FM37" s="7">
        <f t="shared" si="69"/>
        <v>0</v>
      </c>
      <c r="FN37" s="13"/>
      <c r="FO37" s="13"/>
      <c r="FP37" s="191" t="str">
        <f t="shared" si="70"/>
        <v>Standard Options:</v>
      </c>
      <c r="GT37" s="130"/>
      <c r="GU37" s="15"/>
      <c r="GV37" s="15"/>
      <c r="GW37" s="15"/>
      <c r="GX37" s="15"/>
      <c r="GY37" s="15"/>
      <c r="GZ37" s="15"/>
      <c r="HA37" s="15"/>
      <c r="HB37" s="15"/>
      <c r="HC37" s="15"/>
      <c r="HD37" s="15"/>
      <c r="HE37" s="15"/>
      <c r="HF37" s="15"/>
      <c r="HG37" s="11"/>
      <c r="HH37" s="11"/>
    </row>
    <row r="38" spans="1:216" ht="15" customHeight="1" x14ac:dyDescent="0.3">
      <c r="C38" s="187" t="s">
        <v>752</v>
      </c>
      <c r="D38" s="49" t="s">
        <v>566</v>
      </c>
      <c r="E38" s="13" t="s">
        <v>628</v>
      </c>
      <c r="F38" s="13" t="s">
        <v>527</v>
      </c>
      <c r="G38" s="141"/>
      <c r="L38" s="43"/>
      <c r="M38" s="4"/>
      <c r="N38" s="188"/>
      <c r="O38" s="222" t="e">
        <f>CONCATENATE("LF ",INDEX($AC$2:$AF$7,MATCH($C$2,$AE$2:$AE$7,0),1)," ",$CK$1)</f>
        <v>#N/A</v>
      </c>
      <c r="P38" s="195">
        <f>IFERROR(INDEX($CU:$DB,MATCH($O38,$CU:$CU,0),MATCH("Retail",$CU$107:$DC$107,0)),0)</f>
        <v>0</v>
      </c>
      <c r="Q38" s="195">
        <f>IFERROR(INDEX($CU:$DF,MATCH($O38,$CU:$CU,0),MATCH($L$1,$CU$105:$DF$105,0)),0)</f>
        <v>0</v>
      </c>
      <c r="R38" s="29"/>
      <c r="T38" s="173"/>
      <c r="AE38" s="47" t="s">
        <v>753</v>
      </c>
      <c r="AF38" s="10" t="s">
        <v>735</v>
      </c>
      <c r="AG38" s="56" t="s">
        <v>631</v>
      </c>
      <c r="AH38" s="66" t="s">
        <v>113</v>
      </c>
      <c r="AI38" s="26" t="s">
        <v>154</v>
      </c>
      <c r="AJ38" s="104" t="s">
        <v>155</v>
      </c>
      <c r="AK38" s="105" t="s">
        <v>631</v>
      </c>
      <c r="AL38" s="6"/>
      <c r="AM38" s="144" t="s">
        <v>552</v>
      </c>
      <c r="AN38" s="6"/>
      <c r="AO38" s="6"/>
      <c r="AP38" s="6"/>
      <c r="AQ38" s="6"/>
      <c r="AR38" s="6"/>
      <c r="AT38" s="90" t="s">
        <v>754</v>
      </c>
      <c r="AU38" s="15">
        <f t="shared" si="72"/>
        <v>405</v>
      </c>
      <c r="AV38" s="15">
        <f t="shared" si="72"/>
        <v>405</v>
      </c>
      <c r="AW38" s="15">
        <f t="shared" si="72"/>
        <v>405</v>
      </c>
      <c r="AX38" s="15">
        <f t="shared" si="72"/>
        <v>0</v>
      </c>
      <c r="AY38" s="15">
        <f t="shared" si="72"/>
        <v>9999</v>
      </c>
      <c r="AZ38" s="15">
        <f t="shared" si="72"/>
        <v>9999</v>
      </c>
      <c r="BA38" s="15">
        <f t="shared" si="72"/>
        <v>9999</v>
      </c>
      <c r="BB38" s="15">
        <f t="shared" si="72"/>
        <v>9999</v>
      </c>
      <c r="BC38" s="15">
        <f t="shared" si="72"/>
        <v>9999</v>
      </c>
      <c r="BD38" s="15">
        <f t="shared" si="72"/>
        <v>9999</v>
      </c>
      <c r="BE38" s="15">
        <f t="shared" si="72"/>
        <v>0</v>
      </c>
      <c r="BF38" s="15">
        <f t="shared" si="72"/>
        <v>0</v>
      </c>
      <c r="BG38" s="6"/>
      <c r="BH38" s="56"/>
      <c r="BI38" s="1" t="s">
        <v>475</v>
      </c>
      <c r="BM38" s="1"/>
      <c r="BR38" s="15" t="s">
        <v>60</v>
      </c>
      <c r="BS38" s="5" t="s">
        <v>755</v>
      </c>
      <c r="BT38" s="4"/>
      <c r="BU38" t="s">
        <v>32</v>
      </c>
      <c r="BV38" s="8" t="s">
        <v>60</v>
      </c>
      <c r="BW38" s="5" t="s">
        <v>756</v>
      </c>
      <c r="BY38" s="4"/>
      <c r="BZ38" s="8" t="s">
        <v>60</v>
      </c>
      <c r="CA38" s="5" t="s">
        <v>757</v>
      </c>
      <c r="CD38" s="8" t="s">
        <v>60</v>
      </c>
      <c r="CE38" s="5" t="s">
        <v>758</v>
      </c>
      <c r="CG38" s="8" t="s">
        <v>60</v>
      </c>
      <c r="CH38" s="5" t="s">
        <v>759</v>
      </c>
      <c r="CJ38"/>
      <c r="CK38" s="90"/>
      <c r="CQ38" s="157"/>
      <c r="CS38" s="157"/>
      <c r="CT38" s="70"/>
      <c r="CU38"/>
      <c r="DB38" s="13" t="s">
        <v>54</v>
      </c>
      <c r="DC38" s="16" t="str">
        <f t="shared" si="2"/>
        <v>Tom.11x13 Tom Tom</v>
      </c>
      <c r="DD38" s="4" t="s">
        <v>760</v>
      </c>
      <c r="DE38" s="69" t="str">
        <f t="shared" si="68"/>
        <v>MLLCLL</v>
      </c>
      <c r="DF38" s="13" t="s">
        <v>78</v>
      </c>
      <c r="DG38" s="13" t="s">
        <v>79</v>
      </c>
      <c r="DH38" s="13" t="s">
        <v>69</v>
      </c>
      <c r="DI38" s="13"/>
      <c r="DK38" s="13"/>
      <c r="DL38" s="13"/>
      <c r="DM38" s="13"/>
      <c r="DN38" s="81" t="s">
        <v>733</v>
      </c>
      <c r="DR38" s="31"/>
      <c r="DX38" s="66"/>
      <c r="EB38" s="13"/>
      <c r="EC38" s="16"/>
      <c r="ED38" s="26"/>
      <c r="EE38" s="26"/>
      <c r="EF38" s="24"/>
      <c r="EG38" s="24"/>
      <c r="EH38" s="24"/>
      <c r="EJ38" s="24"/>
      <c r="EK38" s="24"/>
      <c r="EL38" s="24"/>
      <c r="EM38" s="24"/>
      <c r="EN38" s="24"/>
      <c r="EO38" s="24"/>
      <c r="EP38" s="24"/>
      <c r="EQ38" s="24"/>
      <c r="ER38" s="24"/>
      <c r="ES38" s="24"/>
      <c r="EU38" s="26"/>
      <c r="EX38" s="27"/>
      <c r="EY38" t="s">
        <v>656</v>
      </c>
      <c r="EZ38" s="13" t="s">
        <v>353</v>
      </c>
      <c r="FA38" s="13" t="s">
        <v>661</v>
      </c>
      <c r="FB38" s="7" t="str">
        <f t="shared" ref="FB38:FB57" si="73">CONCATENATE(EY38,".",EZ38,".",FA38)</f>
        <v>Mini Classic.Big.Double</v>
      </c>
      <c r="FC38" s="208" t="s">
        <v>675</v>
      </c>
      <c r="FD38" s="212" t="s">
        <v>657</v>
      </c>
      <c r="FE38" s="212" t="s">
        <v>690</v>
      </c>
      <c r="FF38" s="212" t="s">
        <v>707</v>
      </c>
      <c r="FG38" s="213" t="s">
        <v>724</v>
      </c>
      <c r="FH38" s="90" t="s">
        <v>761</v>
      </c>
      <c r="FI38" s="66" t="s">
        <v>657</v>
      </c>
      <c r="FJ38" t="str">
        <f>CONCATENATE("Spurs_",FH38)</f>
        <v>Spurs_Spurs_AECFN</v>
      </c>
      <c r="FK38" s="73">
        <v>38</v>
      </c>
      <c r="FL38" s="13">
        <f t="shared" si="60"/>
        <v>0</v>
      </c>
      <c r="FM38" s="7">
        <f t="shared" si="69"/>
        <v>0</v>
      </c>
      <c r="FN38" s="15" t="str">
        <f>C38</f>
        <v>Floor Tom Details</v>
      </c>
      <c r="FO38" t="str">
        <f>D38</f>
        <v>Tone Control</v>
      </c>
      <c r="FP38" t="str">
        <f t="shared" si="70"/>
        <v>None</v>
      </c>
      <c r="FQ38" t="str">
        <f t="shared" ref="FQ38:FR42" si="74">F38</f>
        <v>Change to</v>
      </c>
      <c r="FR38">
        <f t="shared" si="74"/>
        <v>0</v>
      </c>
      <c r="GT38" s="7"/>
      <c r="GV38" s="61"/>
    </row>
    <row r="39" spans="1:216" x14ac:dyDescent="0.3">
      <c r="B39" s="113">
        <f>COUNTIF($B$8:$B$20,"Floor")</f>
        <v>0</v>
      </c>
      <c r="C39" s="50"/>
      <c r="D39" s="30" t="s">
        <v>597</v>
      </c>
      <c r="E39" s="13" t="s">
        <v>711</v>
      </c>
      <c r="F39" s="13" t="s">
        <v>527</v>
      </c>
      <c r="G39" s="141"/>
      <c r="L39" s="43"/>
      <c r="M39" s="4"/>
      <c r="N39" s="188"/>
      <c r="O39" s="222" t="e">
        <f>CONCATENATE("LF ",INDEX($AC$2:$AF$7,MATCH($C$2,$AE$2:$AE$7,0),1)," ",$CK$1)</f>
        <v>#N/A</v>
      </c>
      <c r="P39" s="195">
        <f>IFERROR(INDEX($CU:$DB,MATCH($O39,$CU:$CU,0),MATCH("Retail",$CU$107:$DC$107,0)),0)</f>
        <v>0</v>
      </c>
      <c r="Q39" s="195">
        <f>IFERROR(INDEX($CU:$DF,MATCH($O39,$CU:$CU,0),MATCH($L$1,$CU$105:$DF$105,0)),0)</f>
        <v>0</v>
      </c>
      <c r="R39" s="29"/>
      <c r="AE39" s="47" t="s">
        <v>762</v>
      </c>
      <c r="AF39" s="10" t="s">
        <v>735</v>
      </c>
      <c r="AG39" s="56" t="s">
        <v>648</v>
      </c>
      <c r="AH39" s="66" t="s">
        <v>113</v>
      </c>
      <c r="AI39" s="26" t="s">
        <v>114</v>
      </c>
      <c r="AJ39" s="104" t="s">
        <v>115</v>
      </c>
      <c r="AK39" s="105" t="s">
        <v>648</v>
      </c>
      <c r="AL39" s="6"/>
      <c r="AM39" s="144"/>
      <c r="AN39" s="6"/>
      <c r="AO39" s="6"/>
      <c r="AP39" s="6"/>
      <c r="AQ39" s="6"/>
      <c r="AR39" s="6"/>
      <c r="AT39" s="90" t="s">
        <v>763</v>
      </c>
      <c r="AU39" s="15">
        <f t="shared" si="72"/>
        <v>364</v>
      </c>
      <c r="AV39" s="15">
        <f t="shared" si="72"/>
        <v>364</v>
      </c>
      <c r="AW39" s="15">
        <f t="shared" si="72"/>
        <v>364</v>
      </c>
      <c r="AX39" s="15">
        <f t="shared" si="72"/>
        <v>0</v>
      </c>
      <c r="AY39" s="15">
        <f t="shared" si="72"/>
        <v>0</v>
      </c>
      <c r="AZ39" s="15">
        <f t="shared" si="72"/>
        <v>400</v>
      </c>
      <c r="BA39" s="15">
        <f t="shared" si="72"/>
        <v>0</v>
      </c>
      <c r="BB39" s="15">
        <f t="shared" si="72"/>
        <v>0</v>
      </c>
      <c r="BC39" s="15">
        <f t="shared" si="72"/>
        <v>0</v>
      </c>
      <c r="BD39" s="15">
        <f t="shared" si="72"/>
        <v>0</v>
      </c>
      <c r="BE39" s="15">
        <f t="shared" si="72"/>
        <v>0</v>
      </c>
      <c r="BF39" s="15">
        <f t="shared" si="72"/>
        <v>0</v>
      </c>
      <c r="BG39" s="6"/>
      <c r="BH39" s="56"/>
      <c r="BI39" s="1" t="s">
        <v>492</v>
      </c>
      <c r="BM39" s="1"/>
      <c r="BP39" s="4" t="s">
        <v>764</v>
      </c>
      <c r="BQ39" s="4"/>
      <c r="BR39" s="6" t="str">
        <f t="shared" ref="BR39:BR63" si="75">$BS$1&amp;" "&amp;BS39</f>
        <v xml:space="preserve">Classic Maple 7x6 Tom Tom </v>
      </c>
      <c r="BS39" s="4" t="s">
        <v>764</v>
      </c>
      <c r="BT39" s="71"/>
      <c r="BW39" s="4"/>
      <c r="BY39" s="4"/>
      <c r="CA39" s="4"/>
      <c r="CE39" s="4"/>
      <c r="CI39" s="70"/>
      <c r="CJ39" s="4"/>
      <c r="CK39" s="90"/>
      <c r="CL39" s="157"/>
      <c r="CM39" s="157"/>
      <c r="CN39" s="157"/>
      <c r="CO39" s="157"/>
      <c r="CP39" s="157"/>
      <c r="CQ39" s="157"/>
      <c r="CS39" s="157"/>
      <c r="CT39" s="70"/>
      <c r="CU39" s="4">
        <f t="shared" ref="CU39:CU67" si="76">CJ39</f>
        <v>0</v>
      </c>
      <c r="CV39" s="93" t="s">
        <v>765</v>
      </c>
      <c r="CW39" s="109" t="e">
        <v>#N/A</v>
      </c>
      <c r="CX39" s="109" t="e">
        <v>#N/A</v>
      </c>
      <c r="CY39" s="109" t="e">
        <v>#N/A</v>
      </c>
      <c r="CZ39" s="109" t="e">
        <v>#N/A</v>
      </c>
      <c r="DB39" s="13" t="s">
        <v>54</v>
      </c>
      <c r="DC39" s="16" t="str">
        <f t="shared" si="2"/>
        <v>Tom.11x14 Tom Tom</v>
      </c>
      <c r="DD39" s="4" t="s">
        <v>766</v>
      </c>
      <c r="DE39" s="69" t="str">
        <f t="shared" si="68"/>
        <v>MLLCLL</v>
      </c>
      <c r="DF39" s="13" t="s">
        <v>78</v>
      </c>
      <c r="DG39" s="13" t="s">
        <v>79</v>
      </c>
      <c r="DH39" s="13" t="s">
        <v>69</v>
      </c>
      <c r="DI39" s="13"/>
      <c r="DK39" s="13"/>
      <c r="DL39" s="13"/>
      <c r="DM39" s="13"/>
      <c r="DN39" s="81" t="s">
        <v>733</v>
      </c>
      <c r="DR39" s="31"/>
      <c r="EB39" s="13"/>
      <c r="EC39" s="16"/>
      <c r="ED39" s="26"/>
      <c r="EE39" s="26"/>
      <c r="EF39" s="24"/>
      <c r="EG39" s="24"/>
      <c r="EH39" s="24"/>
      <c r="EJ39" s="24"/>
      <c r="EK39" s="24"/>
      <c r="EL39" s="24"/>
      <c r="EM39" s="24"/>
      <c r="EN39" s="24"/>
      <c r="EO39" s="24"/>
      <c r="EP39" s="24"/>
      <c r="EQ39" s="24"/>
      <c r="ER39" s="24"/>
      <c r="ES39" s="24"/>
      <c r="EU39" s="26"/>
      <c r="EX39" s="27"/>
      <c r="EY39" t="s">
        <v>674</v>
      </c>
      <c r="EZ39" s="13" t="s">
        <v>353</v>
      </c>
      <c r="FA39" s="13" t="s">
        <v>661</v>
      </c>
      <c r="FB39" s="7" t="str">
        <f t="shared" si="73"/>
        <v>Large Classic.Big.Double</v>
      </c>
      <c r="FC39" s="122" t="s">
        <v>675</v>
      </c>
      <c r="FD39" t="s">
        <v>657</v>
      </c>
      <c r="FE39" t="s">
        <v>690</v>
      </c>
      <c r="FF39" t="s">
        <v>707</v>
      </c>
      <c r="FG39" s="121" t="s">
        <v>724</v>
      </c>
      <c r="FH39" s="90" t="s">
        <v>761</v>
      </c>
      <c r="FI39" s="66" t="s">
        <v>657</v>
      </c>
      <c r="FJ39" t="str">
        <f t="shared" ref="FJ39:FJ42" si="77">CONCATENATE("Spurs_",FH39)</f>
        <v>Spurs_Spurs_AECFN</v>
      </c>
      <c r="FK39" s="73">
        <v>39</v>
      </c>
      <c r="FL39" s="13">
        <f t="shared" si="60"/>
        <v>0</v>
      </c>
      <c r="FM39" s="7">
        <f t="shared" si="69"/>
        <v>0</v>
      </c>
      <c r="FN39" s="13"/>
      <c r="FO39" t="str">
        <f>D39</f>
        <v>Batter Head</v>
      </c>
      <c r="FP39" t="str">
        <f t="shared" si="70"/>
        <v>Clear Emperor</v>
      </c>
      <c r="FQ39" t="str">
        <f t="shared" si="74"/>
        <v>Change to</v>
      </c>
      <c r="FR39">
        <f t="shared" si="74"/>
        <v>0</v>
      </c>
      <c r="GT39" s="7"/>
      <c r="GW39" s="7"/>
      <c r="GX39" s="7"/>
    </row>
    <row r="40" spans="1:216" x14ac:dyDescent="0.3">
      <c r="C40" s="50"/>
      <c r="D40" s="30" t="s">
        <v>725</v>
      </c>
      <c r="E40" s="13" t="str">
        <f>IF(G42="Single","86'd", "Clear Ambassador")</f>
        <v>Clear Ambassador</v>
      </c>
      <c r="F40" s="13" t="s">
        <v>599</v>
      </c>
      <c r="H40" s="1"/>
      <c r="L40" s="43"/>
      <c r="M40" s="24"/>
      <c r="N40" s="188"/>
      <c r="O40" s="222" t="e">
        <f>CONCATENATE("LF ",INDEX($AC$2:$AF$7,MATCH($C$2,$AE$2:$AE$7,0),1)," ",$CK$1)</f>
        <v>#N/A</v>
      </c>
      <c r="P40" s="195">
        <f>IFERROR(INDEX($CU:$DB,MATCH($O40,$CU:$CU,0),MATCH("Retail",$CU$107:$DC$107,0)),0)</f>
        <v>0</v>
      </c>
      <c r="Q40" s="195">
        <f>IFERROR(INDEX($CU:$DF,MATCH($O40,$CU:$CU,0),MATCH($L$1,$CU$105:$DF$105,0)),0)</f>
        <v>0</v>
      </c>
      <c r="R40" s="29"/>
      <c r="T40" s="173"/>
      <c r="AE40" s="47" t="s">
        <v>767</v>
      </c>
      <c r="AF40" s="10" t="s">
        <v>735</v>
      </c>
      <c r="AG40" s="56" t="s">
        <v>768</v>
      </c>
      <c r="AH40" s="66" t="s">
        <v>113</v>
      </c>
      <c r="AI40" s="26" t="s">
        <v>114</v>
      </c>
      <c r="AJ40" s="104" t="s">
        <v>115</v>
      </c>
      <c r="AK40" s="105" t="s">
        <v>768</v>
      </c>
      <c r="AL40" s="6"/>
      <c r="AM40" s="144"/>
      <c r="AN40" s="6"/>
      <c r="AO40" s="6"/>
      <c r="AP40" s="6"/>
      <c r="AQ40" s="6"/>
      <c r="AR40" s="6"/>
      <c r="AT40" s="90" t="s">
        <v>769</v>
      </c>
      <c r="AU40" s="15">
        <f t="shared" si="72"/>
        <v>364</v>
      </c>
      <c r="AV40" s="15">
        <f t="shared" si="72"/>
        <v>364</v>
      </c>
      <c r="AW40" s="15">
        <f t="shared" si="72"/>
        <v>364</v>
      </c>
      <c r="AX40" s="15">
        <f t="shared" si="72"/>
        <v>0</v>
      </c>
      <c r="AY40" s="15">
        <f t="shared" si="72"/>
        <v>0</v>
      </c>
      <c r="AZ40" s="15">
        <f t="shared" si="72"/>
        <v>400</v>
      </c>
      <c r="BA40" s="15">
        <f t="shared" si="72"/>
        <v>0</v>
      </c>
      <c r="BB40" s="15">
        <f t="shared" si="72"/>
        <v>0</v>
      </c>
      <c r="BC40" s="15">
        <f t="shared" si="72"/>
        <v>0</v>
      </c>
      <c r="BD40" s="15">
        <f t="shared" si="72"/>
        <v>0</v>
      </c>
      <c r="BE40" s="15">
        <f t="shared" si="72"/>
        <v>0</v>
      </c>
      <c r="BF40" s="15">
        <f t="shared" si="72"/>
        <v>0</v>
      </c>
      <c r="BG40" s="6"/>
      <c r="BH40" s="56"/>
      <c r="BI40" s="1" t="s">
        <v>477</v>
      </c>
      <c r="BL40" s="2"/>
      <c r="BM40" s="1"/>
      <c r="BP40" s="4" t="s">
        <v>770</v>
      </c>
      <c r="BQ40" s="4"/>
      <c r="BR40" s="6" t="str">
        <f t="shared" si="75"/>
        <v>Classic Maple 8x6 Tom Tom</v>
      </c>
      <c r="BS40" s="4" t="s">
        <v>770</v>
      </c>
      <c r="BT40" s="71"/>
      <c r="BW40" s="4"/>
      <c r="BY40" s="4"/>
      <c r="CA40" s="4"/>
      <c r="CE40" s="4"/>
      <c r="CI40" s="70"/>
      <c r="CJ40" s="4"/>
      <c r="CK40" s="90"/>
      <c r="CL40" s="157"/>
      <c r="CM40" s="157"/>
      <c r="CN40" s="157"/>
      <c r="CO40" s="157"/>
      <c r="CP40" s="157"/>
      <c r="CQ40" s="157"/>
      <c r="CS40" s="157"/>
      <c r="CT40" s="70"/>
      <c r="CU40" s="4">
        <f t="shared" si="76"/>
        <v>0</v>
      </c>
      <c r="CV40" s="93" t="s">
        <v>771</v>
      </c>
      <c r="CW40" s="109" t="e">
        <v>#N/A</v>
      </c>
      <c r="CX40" s="109" t="e">
        <v>#N/A</v>
      </c>
      <c r="CY40" s="109" t="e">
        <v>#N/A</v>
      </c>
      <c r="CZ40" s="109" t="e">
        <v>#N/A</v>
      </c>
      <c r="DB40" s="13" t="s">
        <v>54</v>
      </c>
      <c r="DC40" s="16" t="str">
        <f t="shared" si="2"/>
        <v>Tom.12x13 Tom Tom</v>
      </c>
      <c r="DD40" s="4" t="s">
        <v>772</v>
      </c>
      <c r="DE40" s="69" t="str">
        <f t="shared" si="68"/>
        <v>MLLCLL</v>
      </c>
      <c r="DF40" s="13" t="s">
        <v>78</v>
      </c>
      <c r="DG40" s="13" t="s">
        <v>79</v>
      </c>
      <c r="DH40" s="13" t="s">
        <v>69</v>
      </c>
      <c r="DI40" s="13"/>
      <c r="DK40" s="13"/>
      <c r="DL40" s="13"/>
      <c r="DM40" s="13"/>
      <c r="DN40" s="81" t="s">
        <v>733</v>
      </c>
      <c r="DR40" s="31"/>
      <c r="EB40" s="13"/>
      <c r="EC40" s="16"/>
      <c r="ED40" s="26"/>
      <c r="EE40" s="26"/>
      <c r="EF40" s="24"/>
      <c r="EG40" s="24"/>
      <c r="EH40" s="24"/>
      <c r="EJ40" s="24"/>
      <c r="EK40" s="24"/>
      <c r="EM40" s="24"/>
      <c r="EN40" s="24"/>
      <c r="EO40" s="24"/>
      <c r="EP40" s="24"/>
      <c r="EQ40" s="24"/>
      <c r="ER40" s="24"/>
      <c r="ES40" s="24"/>
      <c r="ET40" s="24"/>
      <c r="EU40" s="26"/>
      <c r="EX40" s="27"/>
      <c r="EY40" t="s">
        <v>689</v>
      </c>
      <c r="EZ40" s="13" t="s">
        <v>353</v>
      </c>
      <c r="FA40" s="13" t="s">
        <v>661</v>
      </c>
      <c r="FB40" s="7" t="str">
        <f t="shared" si="73"/>
        <v>Mach Lugs.Big.Double</v>
      </c>
      <c r="FC40" s="122"/>
      <c r="FD40" t="s">
        <v>657</v>
      </c>
      <c r="FE40" t="s">
        <v>690</v>
      </c>
      <c r="FF40" t="s">
        <v>707</v>
      </c>
      <c r="FG40" s="121" t="s">
        <v>724</v>
      </c>
      <c r="FH40" s="90" t="s">
        <v>773</v>
      </c>
      <c r="FI40" s="66" t="s">
        <v>657</v>
      </c>
      <c r="FJ40" t="str">
        <f t="shared" si="77"/>
        <v>Spurs_Spurs_ECFN</v>
      </c>
      <c r="FK40" s="73">
        <v>40</v>
      </c>
      <c r="FL40" s="13">
        <f t="shared" si="60"/>
        <v>0</v>
      </c>
      <c r="FM40" s="7">
        <f t="shared" si="69"/>
        <v>0</v>
      </c>
      <c r="FN40" s="13"/>
      <c r="FO40" t="str">
        <f>D40</f>
        <v>Bottom Head</v>
      </c>
      <c r="FP40" t="str">
        <f t="shared" si="70"/>
        <v>Clear Ambassador</v>
      </c>
      <c r="FQ40" t="str">
        <f t="shared" si="74"/>
        <v>No Option</v>
      </c>
      <c r="FR40">
        <f t="shared" si="74"/>
        <v>0</v>
      </c>
      <c r="GT40" s="7"/>
      <c r="GW40" s="7"/>
      <c r="GX40" s="7"/>
    </row>
    <row r="41" spans="1:216" x14ac:dyDescent="0.3">
      <c r="C41" s="50"/>
      <c r="D41" s="30" t="s">
        <v>646</v>
      </c>
      <c r="E41" s="13" t="str">
        <f>IFERROR(INDEX($ER$5:$ET$9,MATCH($C$2,$ER$5:$ER$9,0),3),"")</f>
        <v/>
      </c>
      <c r="F41" s="13" t="str">
        <f>IF($C$2&lt;&gt;"Classic Maple","No Option","Change to")</f>
        <v>No Option</v>
      </c>
      <c r="G41" s="115"/>
      <c r="H41" s="130" t="str">
        <f ca="1">IF($G$41="","",IF(ISERROR(MATCH($G$41,INDIRECT(B29),0))=FALSE,"","Invalid Selection"))</f>
        <v/>
      </c>
      <c r="L41" s="43"/>
      <c r="M41" s="24"/>
      <c r="N41" s="188"/>
      <c r="O41" s="222" t="e">
        <f>CONCATENATE("LF ",INDEX($AC$2:$AF$7,MATCH($C$2,$AE$2:$AE$7,0),1)," ",$CK$1)</f>
        <v>#N/A</v>
      </c>
      <c r="P41" s="195">
        <f>IFERROR(INDEX($CU:$DB,MATCH($O41,$CU:$CU,0),MATCH("Retail",$CU$107:$DC$107,0)),0)</f>
        <v>0</v>
      </c>
      <c r="Q41" s="195">
        <f>IFERROR(INDEX($CU:$DF,MATCH($O41,$CU:$CU,0),MATCH($L$1,$CU$105:$DF$105,0)),0)</f>
        <v>0</v>
      </c>
      <c r="R41" s="29"/>
      <c r="T41" s="173"/>
      <c r="AE41" s="47" t="s">
        <v>320</v>
      </c>
      <c r="AF41" s="10" t="s">
        <v>774</v>
      </c>
      <c r="AG41" s="56" t="s">
        <v>775</v>
      </c>
      <c r="AH41" s="66" t="s">
        <v>113</v>
      </c>
      <c r="AI41" s="26" t="s">
        <v>114</v>
      </c>
      <c r="AJ41" s="104" t="s">
        <v>115</v>
      </c>
      <c r="AK41" s="105" t="s">
        <v>775</v>
      </c>
      <c r="AL41" s="6"/>
      <c r="AM41" s="144"/>
      <c r="AN41" s="6"/>
      <c r="AO41" s="6"/>
      <c r="AP41" s="6"/>
      <c r="AQ41" s="6"/>
      <c r="AR41" s="6"/>
      <c r="AT41" s="90" t="s">
        <v>776</v>
      </c>
      <c r="AU41" s="15">
        <f t="shared" si="72"/>
        <v>364</v>
      </c>
      <c r="AV41" s="15">
        <f t="shared" si="72"/>
        <v>364</v>
      </c>
      <c r="AW41" s="15">
        <f t="shared" si="72"/>
        <v>364</v>
      </c>
      <c r="AX41" s="15">
        <f t="shared" si="72"/>
        <v>0</v>
      </c>
      <c r="AY41" s="15">
        <f t="shared" si="72"/>
        <v>0</v>
      </c>
      <c r="AZ41" s="15">
        <f t="shared" si="72"/>
        <v>400</v>
      </c>
      <c r="BA41" s="15">
        <f t="shared" si="72"/>
        <v>0</v>
      </c>
      <c r="BB41" s="15">
        <f t="shared" si="72"/>
        <v>0</v>
      </c>
      <c r="BC41" s="15">
        <f t="shared" si="72"/>
        <v>0</v>
      </c>
      <c r="BD41" s="15">
        <f t="shared" si="72"/>
        <v>0</v>
      </c>
      <c r="BE41" s="15">
        <f t="shared" si="72"/>
        <v>0</v>
      </c>
      <c r="BF41" s="15">
        <f t="shared" si="72"/>
        <v>0</v>
      </c>
      <c r="BG41" s="6"/>
      <c r="BH41" s="56"/>
      <c r="BI41" s="1" t="s">
        <v>493</v>
      </c>
      <c r="BM41" s="1"/>
      <c r="BP41" s="4" t="s">
        <v>777</v>
      </c>
      <c r="BQ41" s="4"/>
      <c r="BR41" s="6" t="str">
        <f t="shared" si="75"/>
        <v>Classic Maple 7x8 Tom Tom</v>
      </c>
      <c r="BS41" s="4" t="s">
        <v>777</v>
      </c>
      <c r="BT41" s="71"/>
      <c r="BW41" s="4"/>
      <c r="CA41" s="4"/>
      <c r="CE41" s="4"/>
      <c r="CG41" s="23" t="s">
        <v>748</v>
      </c>
      <c r="CH41" s="4" t="s">
        <v>777</v>
      </c>
      <c r="CI41" s="70"/>
      <c r="CJ41" s="4"/>
      <c r="CK41" s="90"/>
      <c r="CL41" s="157"/>
      <c r="CM41" s="157"/>
      <c r="CN41" s="157"/>
      <c r="CO41" s="157"/>
      <c r="CP41" s="157"/>
      <c r="CQ41" s="157"/>
      <c r="CS41" s="157"/>
      <c r="CT41" s="70"/>
      <c r="CU41" s="4">
        <f t="shared" si="76"/>
        <v>0</v>
      </c>
      <c r="CV41" s="93" t="s">
        <v>785</v>
      </c>
      <c r="CW41" s="109" t="e">
        <v>#N/A</v>
      </c>
      <c r="CX41" s="109" t="e">
        <v>#N/A</v>
      </c>
      <c r="CY41" s="109" t="e">
        <v>#N/A</v>
      </c>
      <c r="CZ41" s="93" t="s">
        <v>779</v>
      </c>
      <c r="DB41" s="13" t="s">
        <v>54</v>
      </c>
      <c r="DC41" s="16" t="str">
        <f t="shared" si="2"/>
        <v>Tom.12x14 Tom Tom</v>
      </c>
      <c r="DD41" s="4" t="s">
        <v>780</v>
      </c>
      <c r="DE41" s="69" t="str">
        <f t="shared" si="68"/>
        <v>MLLCLL</v>
      </c>
      <c r="DF41" s="13" t="s">
        <v>78</v>
      </c>
      <c r="DG41" s="13" t="s">
        <v>79</v>
      </c>
      <c r="DH41" s="13" t="s">
        <v>69</v>
      </c>
      <c r="DI41" s="13"/>
      <c r="DK41" s="13"/>
      <c r="DL41" s="13"/>
      <c r="DM41" s="13"/>
      <c r="DN41" s="81" t="s">
        <v>733</v>
      </c>
      <c r="DR41" s="31"/>
      <c r="DV41" s="11" t="s">
        <v>781</v>
      </c>
      <c r="EB41" s="13"/>
      <c r="EC41" s="16"/>
      <c r="ED41" s="26"/>
      <c r="EE41" s="26"/>
      <c r="EF41" s="24"/>
      <c r="EG41" s="24"/>
      <c r="EH41" s="24"/>
      <c r="EJ41" s="24"/>
      <c r="EK41" s="24"/>
      <c r="EL41" s="24"/>
      <c r="EM41" s="24"/>
      <c r="EN41" s="24"/>
      <c r="EO41" s="24"/>
      <c r="EP41" s="24"/>
      <c r="EQ41" s="24"/>
      <c r="ER41" s="24"/>
      <c r="ES41" s="24"/>
      <c r="EU41" s="26"/>
      <c r="EX41" s="27"/>
      <c r="EY41" t="s">
        <v>706</v>
      </c>
      <c r="EZ41" s="13" t="s">
        <v>353</v>
      </c>
      <c r="FA41" s="13" t="s">
        <v>661</v>
      </c>
      <c r="FB41" s="7" t="str">
        <f t="shared" si="73"/>
        <v>Large Twin.Big.Double</v>
      </c>
      <c r="FC41" s="122"/>
      <c r="FD41" s="13"/>
      <c r="FE41" s="13"/>
      <c r="FF41" t="s">
        <v>707</v>
      </c>
      <c r="FG41" s="121" t="s">
        <v>724</v>
      </c>
      <c r="FH41" s="90" t="s">
        <v>782</v>
      </c>
      <c r="FI41" s="66" t="s">
        <v>707</v>
      </c>
      <c r="FJ41" t="str">
        <f t="shared" si="77"/>
        <v>Spurs_Spurs_FN</v>
      </c>
      <c r="FK41" s="73">
        <v>41</v>
      </c>
      <c r="FL41" s="13">
        <f t="shared" si="60"/>
        <v>0</v>
      </c>
      <c r="FM41" s="7">
        <f t="shared" si="69"/>
        <v>0</v>
      </c>
      <c r="FN41" s="13"/>
      <c r="FO41" t="str">
        <f>D41</f>
        <v>Bearing Edge</v>
      </c>
      <c r="FP41" t="str">
        <f t="shared" si="70"/>
        <v/>
      </c>
      <c r="FQ41" t="str">
        <f t="shared" si="74"/>
        <v>No Option</v>
      </c>
      <c r="FR41">
        <f t="shared" si="74"/>
        <v>0</v>
      </c>
      <c r="GT41" s="216"/>
    </row>
    <row r="42" spans="1:216" ht="15" thickBot="1" x14ac:dyDescent="0.35">
      <c r="A42" s="29" t="str">
        <f>IF(GC23=1,"Double","DblSngl")</f>
        <v>Double</v>
      </c>
      <c r="B42" s="29" t="str">
        <f>IF(G42="Single","Single","Double")</f>
        <v>Double</v>
      </c>
      <c r="C42" s="51"/>
      <c r="D42" s="97" t="s">
        <v>660</v>
      </c>
      <c r="E42" s="13" t="s">
        <v>661</v>
      </c>
      <c r="F42" s="13" t="str">
        <f>IF(OR($C$2&lt;&gt;"Classic Maple",GC23=1),"No Option","Change to")</f>
        <v>No Option</v>
      </c>
      <c r="G42" s="115"/>
      <c r="H42" s="130" t="str">
        <f ca="1">IF($G$42="","",IF(ISERROR(MATCH($G$42,INDIRECT(A42),0))=FALSE,"","Invalid Selection"))</f>
        <v/>
      </c>
      <c r="J42" s="1"/>
      <c r="L42" s="43"/>
      <c r="M42" s="24"/>
      <c r="N42" s="188"/>
      <c r="O42" s="222" t="e">
        <f>CONCATENATE("LF ",INDEX($AC$2:$AF$7,MATCH($C$2,$AE$2:$AE$7,0),1)," ",$CK$1)</f>
        <v>#N/A</v>
      </c>
      <c r="P42" s="195">
        <f>IFERROR(INDEX($CU:$DB,MATCH($O42,$CU:$CU,0),MATCH("Retail",$CU$107:$DC$107,0)),0)</f>
        <v>0</v>
      </c>
      <c r="Q42" s="195">
        <f>IFERROR(INDEX($CU:$DF,MATCH($O42,$CU:$CU,0),MATCH($L$1,$CU$105:$DF$105,0)),0)</f>
        <v>0</v>
      </c>
      <c r="R42" s="29"/>
      <c r="AE42" s="47" t="s">
        <v>302</v>
      </c>
      <c r="AF42" s="10" t="s">
        <v>774</v>
      </c>
      <c r="AG42" s="56" t="s">
        <v>158</v>
      </c>
      <c r="AH42" s="66" t="s">
        <v>377</v>
      </c>
      <c r="AI42" s="26" t="s">
        <v>154</v>
      </c>
      <c r="AJ42" s="104" t="s">
        <v>266</v>
      </c>
      <c r="AK42" s="105" t="s">
        <v>617</v>
      </c>
      <c r="AL42" s="6"/>
      <c r="AM42" s="144" t="s">
        <v>775</v>
      </c>
      <c r="AN42" s="6"/>
      <c r="AO42" s="6"/>
      <c r="AP42" s="6"/>
      <c r="AQ42" s="6"/>
      <c r="AR42" s="6"/>
      <c r="AT42" s="90" t="s">
        <v>783</v>
      </c>
      <c r="AU42" s="15">
        <f t="shared" si="72"/>
        <v>364</v>
      </c>
      <c r="AV42" s="15">
        <f t="shared" si="72"/>
        <v>364</v>
      </c>
      <c r="AW42" s="15">
        <f t="shared" si="72"/>
        <v>364</v>
      </c>
      <c r="AX42" s="15">
        <f t="shared" si="72"/>
        <v>0</v>
      </c>
      <c r="AY42" s="15">
        <f t="shared" si="72"/>
        <v>0</v>
      </c>
      <c r="AZ42" s="15">
        <f t="shared" si="72"/>
        <v>400</v>
      </c>
      <c r="BA42" s="15">
        <f t="shared" si="72"/>
        <v>0</v>
      </c>
      <c r="BB42" s="15">
        <f t="shared" si="72"/>
        <v>0</v>
      </c>
      <c r="BC42" s="15">
        <f t="shared" si="72"/>
        <v>0</v>
      </c>
      <c r="BD42" s="15">
        <f t="shared" si="72"/>
        <v>0</v>
      </c>
      <c r="BE42" s="15">
        <f t="shared" si="72"/>
        <v>0</v>
      </c>
      <c r="BF42" s="15">
        <f t="shared" si="72"/>
        <v>0</v>
      </c>
      <c r="BG42" s="6"/>
      <c r="BH42" s="56"/>
      <c r="BI42" s="1" t="s">
        <v>511</v>
      </c>
      <c r="BM42" s="15"/>
      <c r="BP42" s="4" t="s">
        <v>784</v>
      </c>
      <c r="BQ42" s="4"/>
      <c r="BR42" s="6" t="str">
        <f t="shared" si="75"/>
        <v>Classic Maple 8x8 Tom Tom</v>
      </c>
      <c r="BS42" s="4" t="s">
        <v>784</v>
      </c>
      <c r="BT42" s="71"/>
      <c r="BV42" s="8"/>
      <c r="BW42" s="4"/>
      <c r="BY42" s="4"/>
      <c r="BZ42" s="8"/>
      <c r="CA42" s="4"/>
      <c r="CD42" s="8"/>
      <c r="CE42" s="4"/>
      <c r="CG42" s="23" t="s">
        <v>754</v>
      </c>
      <c r="CH42" s="4" t="s">
        <v>784</v>
      </c>
      <c r="CI42" s="70"/>
      <c r="CJ42" s="4"/>
      <c r="CK42" s="90"/>
      <c r="CL42" s="157"/>
      <c r="CM42" s="157"/>
      <c r="CN42" s="157"/>
      <c r="CO42" s="157"/>
      <c r="CP42" s="157"/>
      <c r="CQ42" s="157"/>
      <c r="CS42" s="157"/>
      <c r="CT42" s="157"/>
      <c r="CU42" s="4">
        <f t="shared" si="76"/>
        <v>0</v>
      </c>
      <c r="CV42" s="93" t="s">
        <v>778</v>
      </c>
      <c r="CW42" s="109" t="e">
        <v>#N/A</v>
      </c>
      <c r="CX42" s="109" t="e">
        <v>#N/A</v>
      </c>
      <c r="CY42" s="109" t="e">
        <v>#N/A</v>
      </c>
      <c r="CZ42" s="93" t="s">
        <v>786</v>
      </c>
      <c r="DB42" s="13" t="s">
        <v>54</v>
      </c>
      <c r="DC42" s="16" t="str">
        <f t="shared" si="2"/>
        <v>Tom.12x15 Tom Tom</v>
      </c>
      <c r="DD42" s="4" t="s">
        <v>787</v>
      </c>
      <c r="DE42" s="69" t="str">
        <f t="shared" si="68"/>
        <v>MLLCLL</v>
      </c>
      <c r="DF42" s="13" t="s">
        <v>78</v>
      </c>
      <c r="DG42" s="13" t="s">
        <v>79</v>
      </c>
      <c r="DH42" s="13" t="s">
        <v>69</v>
      </c>
      <c r="DI42" s="13"/>
      <c r="DK42" s="13"/>
      <c r="DL42" s="13"/>
      <c r="DM42" s="13"/>
      <c r="DN42" s="81" t="s">
        <v>788</v>
      </c>
      <c r="DR42" s="31"/>
      <c r="DT42" s="4"/>
      <c r="DU42" s="4"/>
      <c r="DV42" s="4"/>
      <c r="DW42" t="s">
        <v>789</v>
      </c>
      <c r="EB42" s="13"/>
      <c r="EC42" s="16"/>
      <c r="ED42" s="26"/>
      <c r="EE42" s="26"/>
      <c r="EF42" s="24"/>
      <c r="EG42" s="24"/>
      <c r="EH42" s="24"/>
      <c r="EJ42" s="24"/>
      <c r="EK42" s="24"/>
      <c r="EL42" s="24"/>
      <c r="EM42" s="24"/>
      <c r="EN42" s="24"/>
      <c r="EO42" s="24"/>
      <c r="EP42" s="24"/>
      <c r="EQ42" s="24"/>
      <c r="ER42" s="24"/>
      <c r="ES42" s="24"/>
      <c r="EU42" s="26"/>
      <c r="EX42" s="27"/>
      <c r="EY42" t="s">
        <v>723</v>
      </c>
      <c r="EZ42" s="13" t="s">
        <v>353</v>
      </c>
      <c r="FA42" s="13" t="s">
        <v>661</v>
      </c>
      <c r="FB42" s="7" t="str">
        <f t="shared" si="73"/>
        <v>Large Imperial.Big.Double</v>
      </c>
      <c r="FC42" s="209"/>
      <c r="FD42" s="13"/>
      <c r="FE42" s="13"/>
      <c r="FF42" t="s">
        <v>707</v>
      </c>
      <c r="FG42" s="121" t="s">
        <v>724</v>
      </c>
      <c r="FH42" s="90" t="s">
        <v>782</v>
      </c>
      <c r="FI42" s="66" t="s">
        <v>707</v>
      </c>
      <c r="FJ42" t="str">
        <f t="shared" si="77"/>
        <v>Spurs_Spurs_FN</v>
      </c>
      <c r="FK42" s="73">
        <v>42</v>
      </c>
      <c r="FL42" s="13" t="str">
        <f t="shared" si="60"/>
        <v>Double</v>
      </c>
      <c r="FM42" s="7" t="str">
        <f t="shared" si="69"/>
        <v>Double</v>
      </c>
      <c r="FN42" s="13"/>
      <c r="FO42" t="str">
        <f>D42</f>
        <v>Double / Single Head</v>
      </c>
      <c r="FP42" t="str">
        <f t="shared" si="70"/>
        <v>Double</v>
      </c>
      <c r="FQ42" t="str">
        <f t="shared" si="74"/>
        <v>No Option</v>
      </c>
      <c r="FR42">
        <f t="shared" si="74"/>
        <v>0</v>
      </c>
      <c r="GT42" s="7"/>
      <c r="GV42" s="61"/>
    </row>
    <row r="43" spans="1:216" ht="23.4" customHeight="1" thickBot="1" x14ac:dyDescent="0.45">
      <c r="A43" s="29"/>
      <c r="B43" s="29"/>
      <c r="D43" s="30"/>
      <c r="E43" s="142" t="s">
        <v>506</v>
      </c>
      <c r="G43" s="143" t="s">
        <v>507</v>
      </c>
      <c r="J43" s="1"/>
      <c r="K43" s="4"/>
      <c r="L43" s="43"/>
      <c r="M43" s="24"/>
      <c r="N43" s="4"/>
      <c r="R43" s="29"/>
      <c r="T43" s="173"/>
      <c r="AE43" s="47" t="s">
        <v>790</v>
      </c>
      <c r="AF43" s="10" t="s">
        <v>774</v>
      </c>
      <c r="AG43" s="56" t="s">
        <v>251</v>
      </c>
      <c r="AH43" s="66" t="s">
        <v>377</v>
      </c>
      <c r="AI43" s="26" t="s">
        <v>154</v>
      </c>
      <c r="AJ43" s="104" t="s">
        <v>266</v>
      </c>
      <c r="AK43" s="105" t="s">
        <v>617</v>
      </c>
      <c r="AL43" s="6"/>
      <c r="AM43" s="6"/>
      <c r="AN43" s="6"/>
      <c r="AO43" s="6"/>
      <c r="AP43" s="6"/>
      <c r="AQ43" s="6"/>
      <c r="AR43" s="6"/>
      <c r="AT43" s="90" t="s">
        <v>791</v>
      </c>
      <c r="AU43" s="15">
        <f t="shared" si="72"/>
        <v>352</v>
      </c>
      <c r="AV43" s="15">
        <f t="shared" si="72"/>
        <v>352</v>
      </c>
      <c r="AW43" s="15">
        <f t="shared" si="72"/>
        <v>352</v>
      </c>
      <c r="AX43" s="15">
        <f t="shared" si="72"/>
        <v>0</v>
      </c>
      <c r="AY43" s="15">
        <f t="shared" si="72"/>
        <v>0</v>
      </c>
      <c r="AZ43" s="15">
        <f t="shared" si="72"/>
        <v>400</v>
      </c>
      <c r="BA43" s="15">
        <f t="shared" si="72"/>
        <v>0</v>
      </c>
      <c r="BB43" s="15">
        <f t="shared" si="72"/>
        <v>0</v>
      </c>
      <c r="BC43" s="15">
        <f t="shared" si="72"/>
        <v>0</v>
      </c>
      <c r="BD43" s="15">
        <f t="shared" si="72"/>
        <v>0</v>
      </c>
      <c r="BE43" s="15">
        <f t="shared" si="72"/>
        <v>0</v>
      </c>
      <c r="BF43" s="15">
        <f t="shared" si="72"/>
        <v>0</v>
      </c>
      <c r="BG43" s="6"/>
      <c r="BH43" s="56"/>
      <c r="BI43" s="1" t="s">
        <v>531</v>
      </c>
      <c r="BM43" s="15"/>
      <c r="BP43" s="4" t="s">
        <v>792</v>
      </c>
      <c r="BQ43" s="4"/>
      <c r="BR43" s="6" t="str">
        <f t="shared" si="75"/>
        <v>Classic Maple 7x10 Tom Tom</v>
      </c>
      <c r="BS43" s="4" t="s">
        <v>792</v>
      </c>
      <c r="BT43" s="71"/>
      <c r="BX43" s="67"/>
      <c r="CB43" s="67"/>
      <c r="CF43" s="70"/>
      <c r="CG43" s="23" t="s">
        <v>763</v>
      </c>
      <c r="CH43" s="4" t="s">
        <v>792</v>
      </c>
      <c r="CI43" s="70"/>
      <c r="CJ43" s="4"/>
      <c r="CK43" s="90"/>
      <c r="CL43" s="157"/>
      <c r="CM43" s="157"/>
      <c r="CN43" s="157"/>
      <c r="CO43" s="157"/>
      <c r="CP43" s="157"/>
      <c r="CQ43" s="157"/>
      <c r="CS43" s="157"/>
      <c r="CT43" s="70"/>
      <c r="CU43" s="4">
        <f t="shared" si="76"/>
        <v>0</v>
      </c>
      <c r="CV43" s="93" t="s">
        <v>793</v>
      </c>
      <c r="CW43" s="93" t="s">
        <v>794</v>
      </c>
      <c r="CX43" s="93" t="s">
        <v>795</v>
      </c>
      <c r="CY43" s="93" t="s">
        <v>796</v>
      </c>
      <c r="CZ43" s="93" t="s">
        <v>797</v>
      </c>
      <c r="DA43" s="70"/>
      <c r="DB43" s="13" t="s">
        <v>54</v>
      </c>
      <c r="DC43" s="16" t="str">
        <f t="shared" si="2"/>
        <v>Tom.13x14 Tom Tom</v>
      </c>
      <c r="DD43" s="4" t="s">
        <v>798</v>
      </c>
      <c r="DE43" s="69" t="str">
        <f t="shared" si="68"/>
        <v>MLLCLL</v>
      </c>
      <c r="DF43" s="13" t="s">
        <v>78</v>
      </c>
      <c r="DG43" s="13" t="s">
        <v>79</v>
      </c>
      <c r="DH43" s="13" t="s">
        <v>69</v>
      </c>
      <c r="DI43" s="13"/>
      <c r="DK43" s="13"/>
      <c r="DL43" s="13"/>
      <c r="DM43" s="13"/>
      <c r="DN43" s="81" t="s">
        <v>733</v>
      </c>
      <c r="DR43" s="31"/>
      <c r="DS43" s="54"/>
      <c r="DT43" s="55" t="s">
        <v>322</v>
      </c>
      <c r="DU43" s="4" t="s">
        <v>799</v>
      </c>
      <c r="DV43" s="4" t="s">
        <v>722</v>
      </c>
      <c r="DW43" s="4" t="s">
        <v>746</v>
      </c>
      <c r="DX43" s="4"/>
      <c r="EB43" s="13"/>
      <c r="EC43" s="16"/>
      <c r="ED43" s="26"/>
      <c r="EE43" s="26"/>
      <c r="EF43" s="24"/>
      <c r="EG43" s="24"/>
      <c r="EH43" s="24"/>
      <c r="EN43" s="24"/>
      <c r="EO43" s="24"/>
      <c r="EP43" s="24"/>
      <c r="EQ43" s="24"/>
      <c r="ER43" s="24"/>
      <c r="ES43" s="24"/>
      <c r="EU43" s="26"/>
      <c r="EX43" s="27"/>
      <c r="EY43" t="s">
        <v>656</v>
      </c>
      <c r="EZ43" s="13" t="s">
        <v>139</v>
      </c>
      <c r="FA43" s="13" t="s">
        <v>661</v>
      </c>
      <c r="FB43" s="7" t="str">
        <f t="shared" si="73"/>
        <v>Mini Classic.Small.Double</v>
      </c>
      <c r="FC43" s="122" t="s">
        <v>675</v>
      </c>
      <c r="FD43" t="s">
        <v>657</v>
      </c>
      <c r="FE43" s="13"/>
      <c r="FF43" t="s">
        <v>707</v>
      </c>
      <c r="FG43" s="121" t="s">
        <v>724</v>
      </c>
      <c r="FH43" s="90" t="s">
        <v>800</v>
      </c>
      <c r="FI43" s="66" t="s">
        <v>657</v>
      </c>
      <c r="FJ43" t="str">
        <f t="shared" ref="FJ43:FJ57" si="78">CONCATENATE("Spurs_",FH43)</f>
        <v>Spurs_Spurs_AEFN</v>
      </c>
      <c r="FK43" s="73">
        <v>43</v>
      </c>
      <c r="FL43" s="13">
        <f t="shared" si="60"/>
        <v>0</v>
      </c>
      <c r="FM43" s="7">
        <f t="shared" si="69"/>
        <v>0</v>
      </c>
      <c r="FN43" s="13"/>
      <c r="FO43" s="13"/>
      <c r="FP43" s="191" t="str">
        <f t="shared" si="70"/>
        <v>Standard Options:</v>
      </c>
      <c r="FT43">
        <v>12</v>
      </c>
      <c r="FU43">
        <v>10</v>
      </c>
      <c r="FV43">
        <v>9</v>
      </c>
      <c r="FY43" s="13"/>
      <c r="GT43" s="7"/>
    </row>
    <row r="44" spans="1:216" ht="14.4" customHeight="1" x14ac:dyDescent="0.3">
      <c r="A44" s="29"/>
      <c r="B44" s="79" t="s">
        <v>801</v>
      </c>
      <c r="C44" s="128" t="s">
        <v>802</v>
      </c>
      <c r="D44" s="49" t="s">
        <v>595</v>
      </c>
      <c r="E44" s="13" t="s">
        <v>803</v>
      </c>
      <c r="F44" s="13" t="s">
        <v>527</v>
      </c>
      <c r="G44" s="202"/>
      <c r="H44" s="43"/>
      <c r="J44" s="1"/>
      <c r="K44" s="43"/>
      <c r="M44" s="24"/>
      <c r="N44" s="188"/>
      <c r="O44" s="222" t="e">
        <f t="shared" ref="O44:O50" si="79">CONCATENATE("LS ",INDEX($AC$2:$AF$7,MATCH($C$2,$AE$2:$AE$7,0),1)," ",$CK$1)</f>
        <v>#N/A</v>
      </c>
      <c r="P44" s="195">
        <f t="shared" ref="P44:P50" si="80">IFERROR(INDEX($CU:$DB,MATCH($O44,$CU:$CU,0),MATCH("Retail",$CU$107:$DC$107,0)),0)</f>
        <v>0</v>
      </c>
      <c r="Q44" s="195">
        <f t="shared" ref="Q44:Q50" si="81">IFERROR(INDEX($CU:$DF,MATCH($O44,$CU:$CU,0),MATCH($L$1,$CU$105:$DF$105,0)),0)</f>
        <v>0</v>
      </c>
      <c r="R44" s="29"/>
      <c r="T44" s="173"/>
      <c r="AE44" s="47" t="s">
        <v>304</v>
      </c>
      <c r="AF44" s="10" t="s">
        <v>774</v>
      </c>
      <c r="AG44" s="56" t="s">
        <v>310</v>
      </c>
      <c r="AH44" s="66" t="s">
        <v>377</v>
      </c>
      <c r="AI44" s="26" t="s">
        <v>154</v>
      </c>
      <c r="AJ44" s="104" t="s">
        <v>266</v>
      </c>
      <c r="AK44" s="105" t="s">
        <v>617</v>
      </c>
      <c r="AL44" s="6"/>
      <c r="AM44" s="6"/>
      <c r="AN44" s="6"/>
      <c r="AO44" s="6"/>
      <c r="AP44" s="6"/>
      <c r="AQ44" s="6"/>
      <c r="AR44" s="6"/>
      <c r="AT44" s="90" t="s">
        <v>804</v>
      </c>
      <c r="AU44" s="15">
        <f t="shared" si="72"/>
        <v>352</v>
      </c>
      <c r="AV44" s="15">
        <f t="shared" si="72"/>
        <v>352</v>
      </c>
      <c r="AW44" s="15">
        <f t="shared" si="72"/>
        <v>352</v>
      </c>
      <c r="AX44" s="15">
        <f t="shared" si="72"/>
        <v>0</v>
      </c>
      <c r="AY44" s="15">
        <f t="shared" si="72"/>
        <v>0</v>
      </c>
      <c r="AZ44" s="15">
        <f t="shared" si="72"/>
        <v>400</v>
      </c>
      <c r="BA44" s="15">
        <f t="shared" si="72"/>
        <v>0</v>
      </c>
      <c r="BB44" s="15">
        <f t="shared" si="72"/>
        <v>0</v>
      </c>
      <c r="BC44" s="15">
        <f t="shared" si="72"/>
        <v>0</v>
      </c>
      <c r="BD44" s="15">
        <f t="shared" si="72"/>
        <v>0</v>
      </c>
      <c r="BE44" s="15">
        <f t="shared" si="72"/>
        <v>0</v>
      </c>
      <c r="BF44" s="15">
        <f t="shared" si="72"/>
        <v>0</v>
      </c>
      <c r="BG44" s="6"/>
      <c r="BH44" s="56"/>
      <c r="BI44" s="1" t="s">
        <v>553</v>
      </c>
      <c r="BM44" s="15"/>
      <c r="BP44" s="4" t="s">
        <v>805</v>
      </c>
      <c r="BQ44" s="4"/>
      <c r="BR44" s="6" t="str">
        <f t="shared" si="75"/>
        <v xml:space="preserve">Classic Maple 7.5x10 Tom Tom </v>
      </c>
      <c r="BS44" s="4" t="s">
        <v>805</v>
      </c>
      <c r="BT44" s="71"/>
      <c r="BV44" s="6" t="str">
        <f>BW$1&amp;" "&amp;BW44</f>
        <v>Legacy Maple 7x10 Tom Tom</v>
      </c>
      <c r="BW44" s="4" t="s">
        <v>792</v>
      </c>
      <c r="BZ44" s="6" t="str">
        <f>CA$1&amp;" "&amp;CA44</f>
        <v>Legacy Mahogany 7x10 Tom Tom</v>
      </c>
      <c r="CA44" s="4" t="s">
        <v>792</v>
      </c>
      <c r="CD44" s="6" t="str">
        <f>CE$1&amp;" "&amp;CE44</f>
        <v>Legacy Exotic 7x10 Tom Tom</v>
      </c>
      <c r="CE44" s="4" t="s">
        <v>792</v>
      </c>
      <c r="CG44" s="23" t="s">
        <v>769</v>
      </c>
      <c r="CH44" s="4" t="s">
        <v>805</v>
      </c>
      <c r="CI44" s="70"/>
      <c r="CJ44" s="4"/>
      <c r="CK44" s="90"/>
      <c r="CL44" s="157"/>
      <c r="CM44" s="157"/>
      <c r="CN44" s="157"/>
      <c r="CO44" s="157"/>
      <c r="CP44" s="157"/>
      <c r="CQ44" s="157"/>
      <c r="CS44" s="157"/>
      <c r="CT44" s="70"/>
      <c r="CU44" s="4">
        <f t="shared" si="76"/>
        <v>0</v>
      </c>
      <c r="CV44" s="93" t="s">
        <v>806</v>
      </c>
      <c r="CW44" s="93" t="s">
        <v>807</v>
      </c>
      <c r="CX44" s="93" t="s">
        <v>808</v>
      </c>
      <c r="CY44" s="93" t="s">
        <v>809</v>
      </c>
      <c r="CZ44" s="93" t="s">
        <v>810</v>
      </c>
      <c r="DB44" s="13" t="s">
        <v>54</v>
      </c>
      <c r="DC44" s="16" t="str">
        <f t="shared" si="2"/>
        <v>Tom.13x15 Tom Tom</v>
      </c>
      <c r="DD44" s="4" t="s">
        <v>811</v>
      </c>
      <c r="DE44" s="69" t="str">
        <f t="shared" si="68"/>
        <v>MLLCLL</v>
      </c>
      <c r="DF44" s="13" t="s">
        <v>78</v>
      </c>
      <c r="DG44" s="13" t="s">
        <v>79</v>
      </c>
      <c r="DH44" s="13" t="s">
        <v>69</v>
      </c>
      <c r="DI44" s="13"/>
      <c r="DK44" s="13"/>
      <c r="DL44" s="13"/>
      <c r="DM44" s="13"/>
      <c r="DN44" s="81" t="s">
        <v>788</v>
      </c>
      <c r="DR44" s="31"/>
      <c r="DS44" s="54"/>
      <c r="DT44" s="55" t="s">
        <v>357</v>
      </c>
      <c r="DU44" s="4" t="s">
        <v>799</v>
      </c>
      <c r="DV44" s="4"/>
      <c r="DX44" s="4"/>
      <c r="EB44" s="13"/>
      <c r="EC44" s="16"/>
      <c r="ED44" s="26"/>
      <c r="EE44" s="26"/>
      <c r="EF44" s="24"/>
      <c r="EG44" s="24"/>
      <c r="EH44" s="24"/>
      <c r="EK44" s="24"/>
      <c r="EM44" s="24"/>
      <c r="EN44" s="24"/>
      <c r="EO44" s="24"/>
      <c r="EP44" s="24"/>
      <c r="EQ44" s="24"/>
      <c r="ER44" s="24"/>
      <c r="ES44" s="24"/>
      <c r="EU44" s="26"/>
      <c r="EX44" s="27"/>
      <c r="EY44" t="s">
        <v>674</v>
      </c>
      <c r="EZ44" s="13" t="s">
        <v>139</v>
      </c>
      <c r="FA44" s="13" t="s">
        <v>661</v>
      </c>
      <c r="FB44" s="7" t="str">
        <f t="shared" si="73"/>
        <v>Large Classic.Small.Double</v>
      </c>
      <c r="FC44" s="122" t="s">
        <v>675</v>
      </c>
      <c r="FD44" t="s">
        <v>657</v>
      </c>
      <c r="FE44" s="13"/>
      <c r="FF44" t="s">
        <v>707</v>
      </c>
      <c r="FG44" s="121" t="s">
        <v>724</v>
      </c>
      <c r="FH44" s="90" t="s">
        <v>800</v>
      </c>
      <c r="FI44" s="66" t="s">
        <v>657</v>
      </c>
      <c r="FJ44" t="str">
        <f t="shared" si="78"/>
        <v>Spurs_Spurs_AEFN</v>
      </c>
      <c r="FK44" s="73">
        <v>44</v>
      </c>
      <c r="FL44" s="13">
        <f t="shared" si="60"/>
        <v>0</v>
      </c>
      <c r="FM44" s="7" t="str">
        <f t="shared" si="69"/>
        <v>SD Count</v>
      </c>
      <c r="FN44" s="15" t="str">
        <f>C44</f>
        <v>Snare Details</v>
      </c>
      <c r="FO44" s="7" t="str">
        <f>D44</f>
        <v>Butt</v>
      </c>
      <c r="FP44" t="str">
        <f t="shared" si="70"/>
        <v>P35 Atlas</v>
      </c>
      <c r="FQ44" t="str">
        <f t="shared" ref="FQ44:FR49" si="82">F44</f>
        <v>Change to</v>
      </c>
      <c r="FR44">
        <f t="shared" si="82"/>
        <v>0</v>
      </c>
      <c r="FY44" s="13"/>
    </row>
    <row r="45" spans="1:216" x14ac:dyDescent="0.3">
      <c r="A45" s="29" t="s">
        <v>801</v>
      </c>
      <c r="B45" s="112">
        <f>COUNTIF($B$8:$B$20,"Snare")</f>
        <v>0</v>
      </c>
      <c r="C45" s="50"/>
      <c r="D45" s="30" t="s">
        <v>566</v>
      </c>
      <c r="E45" s="13" t="s">
        <v>812</v>
      </c>
      <c r="F45" s="13" t="s">
        <v>527</v>
      </c>
      <c r="G45" s="141"/>
      <c r="H45" s="43"/>
      <c r="J45" s="150"/>
      <c r="K45" s="43"/>
      <c r="M45" s="24"/>
      <c r="N45" s="188"/>
      <c r="O45" s="222" t="e">
        <f t="shared" si="79"/>
        <v>#N/A</v>
      </c>
      <c r="P45" s="195">
        <f t="shared" si="80"/>
        <v>0</v>
      </c>
      <c r="Q45" s="195">
        <f t="shared" si="81"/>
        <v>0</v>
      </c>
      <c r="R45" s="29"/>
      <c r="T45" s="173"/>
      <c r="AE45" s="47" t="s">
        <v>154</v>
      </c>
      <c r="AF45" s="10" t="s">
        <v>774</v>
      </c>
      <c r="AG45" s="56" t="s">
        <v>328</v>
      </c>
      <c r="AH45" s="66" t="s">
        <v>377</v>
      </c>
      <c r="AI45" s="26" t="s">
        <v>154</v>
      </c>
      <c r="AJ45" s="104" t="s">
        <v>266</v>
      </c>
      <c r="AK45" s="105" t="s">
        <v>617</v>
      </c>
      <c r="AL45" s="6"/>
      <c r="AM45" s="6"/>
      <c r="AN45" s="6"/>
      <c r="AO45" s="6"/>
      <c r="AP45" s="6"/>
      <c r="AQ45" s="6"/>
      <c r="AR45" s="6"/>
      <c r="AT45" s="90" t="s">
        <v>813</v>
      </c>
      <c r="AU45" s="15">
        <f t="shared" si="72"/>
        <v>352</v>
      </c>
      <c r="AV45" s="15">
        <f t="shared" si="72"/>
        <v>352</v>
      </c>
      <c r="AW45" s="15">
        <f t="shared" si="72"/>
        <v>352</v>
      </c>
      <c r="AX45" s="15">
        <f t="shared" si="72"/>
        <v>0</v>
      </c>
      <c r="AY45" s="15">
        <f t="shared" si="72"/>
        <v>0</v>
      </c>
      <c r="AZ45" s="15">
        <f t="shared" si="72"/>
        <v>400</v>
      </c>
      <c r="BA45" s="15">
        <f t="shared" si="72"/>
        <v>0</v>
      </c>
      <c r="BB45" s="15">
        <f t="shared" si="72"/>
        <v>0</v>
      </c>
      <c r="BC45" s="15">
        <f t="shared" si="72"/>
        <v>0</v>
      </c>
      <c r="BD45" s="15">
        <f t="shared" si="72"/>
        <v>0</v>
      </c>
      <c r="BE45" s="15">
        <f t="shared" si="72"/>
        <v>0</v>
      </c>
      <c r="BF45" s="15">
        <f t="shared" si="72"/>
        <v>0</v>
      </c>
      <c r="BG45" s="6"/>
      <c r="BH45" s="56"/>
      <c r="BI45" s="1" t="s">
        <v>510</v>
      </c>
      <c r="BM45" s="15"/>
      <c r="BN45" s="11"/>
      <c r="BO45" s="11"/>
      <c r="BP45" s="4" t="s">
        <v>814</v>
      </c>
      <c r="BQ45" s="4"/>
      <c r="BR45" s="6" t="str">
        <f t="shared" si="75"/>
        <v>Classic Maple 8x10 Tom Tom</v>
      </c>
      <c r="BS45" s="4" t="s">
        <v>814</v>
      </c>
      <c r="BT45" s="71"/>
      <c r="BV45" s="6" t="str">
        <f t="shared" ref="BV45:BV67" si="83">BW$1&amp;" "&amp;BW45</f>
        <v>Legacy Maple 8x10 Tom Tom</v>
      </c>
      <c r="BW45" s="4" t="s">
        <v>814</v>
      </c>
      <c r="BX45" s="67"/>
      <c r="BY45" s="4"/>
      <c r="BZ45" s="6" t="str">
        <f t="shared" ref="BZ45:BZ67" si="84">CA$1&amp;" "&amp;CA45</f>
        <v>Legacy Mahogany 8x10 Tom Tom</v>
      </c>
      <c r="CA45" s="4" t="s">
        <v>814</v>
      </c>
      <c r="CB45" s="67"/>
      <c r="CC45" s="4"/>
      <c r="CD45" s="6" t="str">
        <f t="shared" ref="CD45:CD67" si="85">CE$1&amp;" "&amp;CE45</f>
        <v>Legacy Exotic 8x10 Tom Tom</v>
      </c>
      <c r="CE45" s="4" t="s">
        <v>814</v>
      </c>
      <c r="CF45" s="70"/>
      <c r="CG45" s="23" t="s">
        <v>776</v>
      </c>
      <c r="CH45" s="4" t="s">
        <v>814</v>
      </c>
      <c r="CI45" s="70"/>
      <c r="CJ45" s="4"/>
      <c r="CK45" s="90"/>
      <c r="CL45" s="157"/>
      <c r="CM45" s="157"/>
      <c r="CN45" s="157"/>
      <c r="CO45" s="157"/>
      <c r="CP45" s="157"/>
      <c r="CQ45" s="157"/>
      <c r="CS45" s="157"/>
      <c r="CT45" s="70"/>
      <c r="CU45" s="4">
        <f t="shared" si="76"/>
        <v>0</v>
      </c>
      <c r="CV45" s="93" t="s">
        <v>815</v>
      </c>
      <c r="CW45" s="93" t="s">
        <v>816</v>
      </c>
      <c r="CX45" s="93" t="s">
        <v>817</v>
      </c>
      <c r="CY45" s="93" t="s">
        <v>818</v>
      </c>
      <c r="CZ45" s="93" t="s">
        <v>819</v>
      </c>
      <c r="DA45" s="70"/>
      <c r="DB45" s="13" t="s">
        <v>54</v>
      </c>
      <c r="DC45" s="16" t="str">
        <f t="shared" si="2"/>
        <v xml:space="preserve">Tom.13x16 Tom Tom </v>
      </c>
      <c r="DD45" s="4" t="s">
        <v>820</v>
      </c>
      <c r="DE45" s="69" t="str">
        <f t="shared" si="68"/>
        <v>MLLCLL</v>
      </c>
      <c r="DF45" s="13" t="s">
        <v>78</v>
      </c>
      <c r="DG45" s="13" t="s">
        <v>79</v>
      </c>
      <c r="DH45" s="13" t="s">
        <v>69</v>
      </c>
      <c r="DI45" s="13"/>
      <c r="DK45" s="13"/>
      <c r="DL45" s="13"/>
      <c r="DM45" s="13"/>
      <c r="DN45" s="81" t="s">
        <v>733</v>
      </c>
      <c r="DR45" s="31"/>
      <c r="DS45" s="54"/>
      <c r="DT45" s="55" t="s">
        <v>394</v>
      </c>
      <c r="DU45" s="4" t="s">
        <v>799</v>
      </c>
      <c r="DV45" s="4"/>
      <c r="DX45" s="4"/>
      <c r="EB45" s="13"/>
      <c r="EC45" s="16"/>
      <c r="ED45" s="26"/>
      <c r="EE45" s="26"/>
      <c r="EF45" s="24"/>
      <c r="EG45" s="24"/>
      <c r="EH45" s="24"/>
      <c r="EJ45" s="24"/>
      <c r="EK45" s="24"/>
      <c r="EL45" s="24"/>
      <c r="EM45" s="24"/>
      <c r="EN45" s="24"/>
      <c r="EO45" s="24"/>
      <c r="EP45" s="24"/>
      <c r="EQ45" s="24"/>
      <c r="ER45" s="24"/>
      <c r="ES45" s="24"/>
      <c r="ET45" s="24"/>
      <c r="EU45" s="26"/>
      <c r="EX45" s="27"/>
      <c r="EY45" t="s">
        <v>689</v>
      </c>
      <c r="EZ45" s="13" t="s">
        <v>139</v>
      </c>
      <c r="FA45" s="13" t="s">
        <v>661</v>
      </c>
      <c r="FB45" s="7" t="str">
        <f t="shared" si="73"/>
        <v>Mach Lugs.Small.Double</v>
      </c>
      <c r="FC45" s="122"/>
      <c r="FD45" t="s">
        <v>657</v>
      </c>
      <c r="FE45" s="13"/>
      <c r="FF45" t="s">
        <v>707</v>
      </c>
      <c r="FG45" s="121" t="s">
        <v>724</v>
      </c>
      <c r="FH45" s="90" t="s">
        <v>821</v>
      </c>
      <c r="FI45" s="66" t="s">
        <v>657</v>
      </c>
      <c r="FJ45" t="str">
        <f t="shared" si="78"/>
        <v>Spurs_Spurs_EFN</v>
      </c>
      <c r="FK45" s="73">
        <v>45</v>
      </c>
      <c r="FL45" s="13" t="str">
        <f t="shared" si="60"/>
        <v>SD Count</v>
      </c>
      <c r="FM45" s="7">
        <f t="shared" si="69"/>
        <v>0</v>
      </c>
      <c r="FN45" s="13"/>
      <c r="FO45" s="7" t="str">
        <f t="shared" ref="FO45:FO50" si="86">D45</f>
        <v>Tone Control</v>
      </c>
      <c r="FP45" t="str">
        <f t="shared" si="70"/>
        <v>No</v>
      </c>
      <c r="FQ45" t="str">
        <f t="shared" si="82"/>
        <v>Change to</v>
      </c>
      <c r="FR45">
        <f t="shared" si="82"/>
        <v>0</v>
      </c>
      <c r="FU45" t="s">
        <v>822</v>
      </c>
      <c r="FV45" s="66"/>
      <c r="FX45" s="13" t="s">
        <v>89</v>
      </c>
      <c r="FY45" s="66" t="s">
        <v>87</v>
      </c>
    </row>
    <row r="46" spans="1:216" x14ac:dyDescent="0.3">
      <c r="A46" s="29"/>
      <c r="B46" s="29"/>
      <c r="C46" s="50"/>
      <c r="D46" s="30" t="s">
        <v>823</v>
      </c>
      <c r="E46" s="13" t="s">
        <v>824</v>
      </c>
      <c r="F46" s="13" t="str">
        <f>IF(BS84 = "Triple_Flange", "No Option", "Change to")</f>
        <v>Change to</v>
      </c>
      <c r="G46" s="141"/>
      <c r="H46" s="130" t="str">
        <f ca="1">IF(OR($G$46="",$G$46="Triple Flange"),"",IF(ISERROR(MATCH($G$46,INDIRECT(BS84),0))=FALSE,"","Invalid Selection"))</f>
        <v/>
      </c>
      <c r="J46" s="1"/>
      <c r="K46" s="43"/>
      <c r="M46" s="24"/>
      <c r="N46" s="188"/>
      <c r="O46" s="222" t="e">
        <f t="shared" si="79"/>
        <v>#N/A</v>
      </c>
      <c r="P46" s="195">
        <f t="shared" si="80"/>
        <v>0</v>
      </c>
      <c r="Q46" s="195">
        <f t="shared" si="81"/>
        <v>0</v>
      </c>
      <c r="R46" s="29"/>
      <c r="T46" s="173"/>
      <c r="AG46" s="56" t="s">
        <v>291</v>
      </c>
      <c r="AH46" s="66" t="s">
        <v>377</v>
      </c>
      <c r="AI46" s="26" t="s">
        <v>154</v>
      </c>
      <c r="AJ46" s="104" t="s">
        <v>266</v>
      </c>
      <c r="AK46" s="105" t="s">
        <v>617</v>
      </c>
      <c r="AL46" s="6"/>
      <c r="AM46" s="6"/>
      <c r="AN46" s="6"/>
      <c r="AO46" s="6"/>
      <c r="AP46" s="6"/>
      <c r="AQ46" s="6"/>
      <c r="AR46" s="6"/>
      <c r="AT46" s="90" t="s">
        <v>825</v>
      </c>
      <c r="AU46" s="15">
        <f t="shared" si="72"/>
        <v>352</v>
      </c>
      <c r="AV46" s="15">
        <f t="shared" si="72"/>
        <v>352</v>
      </c>
      <c r="AW46" s="15">
        <f t="shared" si="72"/>
        <v>352</v>
      </c>
      <c r="AX46" s="15">
        <f t="shared" si="72"/>
        <v>0</v>
      </c>
      <c r="AY46" s="15">
        <f t="shared" si="72"/>
        <v>0</v>
      </c>
      <c r="AZ46" s="15">
        <f t="shared" si="72"/>
        <v>400</v>
      </c>
      <c r="BA46" s="15">
        <f t="shared" si="72"/>
        <v>0</v>
      </c>
      <c r="BB46" s="15">
        <f t="shared" si="72"/>
        <v>0</v>
      </c>
      <c r="BC46" s="15">
        <f t="shared" si="72"/>
        <v>0</v>
      </c>
      <c r="BD46" s="15">
        <f t="shared" si="72"/>
        <v>0</v>
      </c>
      <c r="BE46" s="15">
        <f t="shared" si="72"/>
        <v>0</v>
      </c>
      <c r="BF46" s="15">
        <f t="shared" si="72"/>
        <v>0</v>
      </c>
      <c r="BG46" s="6"/>
      <c r="BH46" s="56"/>
      <c r="BI46" s="1" t="s">
        <v>530</v>
      </c>
      <c r="BM46" s="15"/>
      <c r="BN46" s="11"/>
      <c r="BO46" s="11"/>
      <c r="BP46" s="4" t="s">
        <v>826</v>
      </c>
      <c r="BQ46" s="4"/>
      <c r="BR46" s="6" t="str">
        <f t="shared" si="75"/>
        <v>Classic Maple 9x10 Tom Tom</v>
      </c>
      <c r="BS46" s="4" t="s">
        <v>826</v>
      </c>
      <c r="BT46" s="71"/>
      <c r="BV46" s="6" t="str">
        <f t="shared" si="83"/>
        <v>Legacy Maple 9x10 Tom Tom</v>
      </c>
      <c r="BW46" s="4" t="s">
        <v>826</v>
      </c>
      <c r="BX46" s="67"/>
      <c r="BY46" s="4"/>
      <c r="BZ46" s="6" t="str">
        <f t="shared" si="84"/>
        <v>Legacy Mahogany 9x10 Tom Tom</v>
      </c>
      <c r="CA46" s="4" t="s">
        <v>826</v>
      </c>
      <c r="CB46" s="67"/>
      <c r="CC46" s="4"/>
      <c r="CD46" s="6" t="str">
        <f t="shared" si="85"/>
        <v>Legacy Exotic 9x10 Tom Tom</v>
      </c>
      <c r="CE46" s="4" t="s">
        <v>826</v>
      </c>
      <c r="CF46" s="70"/>
      <c r="CG46" s="23" t="s">
        <v>783</v>
      </c>
      <c r="CH46" s="4" t="s">
        <v>826</v>
      </c>
      <c r="CI46" s="70"/>
      <c r="CJ46" s="4"/>
      <c r="CK46" s="90"/>
      <c r="CL46" s="157"/>
      <c r="CM46" s="157"/>
      <c r="CN46" s="157"/>
      <c r="CO46" s="157"/>
      <c r="CP46" s="157"/>
      <c r="CQ46" s="157"/>
      <c r="CS46" s="157"/>
      <c r="CT46" s="70"/>
      <c r="CU46" s="4">
        <f t="shared" si="76"/>
        <v>0</v>
      </c>
      <c r="CV46" s="93" t="s">
        <v>827</v>
      </c>
      <c r="CW46" s="93" t="s">
        <v>828</v>
      </c>
      <c r="CX46" s="93" t="s">
        <v>829</v>
      </c>
      <c r="CY46" s="93" t="s">
        <v>830</v>
      </c>
      <c r="CZ46" s="93" t="s">
        <v>831</v>
      </c>
      <c r="DA46" s="70"/>
      <c r="DB46" s="13" t="s">
        <v>54</v>
      </c>
      <c r="DC46" s="16" t="str">
        <f t="shared" si="2"/>
        <v>Tom.14x14 Tom Tom</v>
      </c>
      <c r="DD46" s="4" t="s">
        <v>832</v>
      </c>
      <c r="DE46" s="69" t="str">
        <f t="shared" si="68"/>
        <v>MLLCLL</v>
      </c>
      <c r="DF46" s="13" t="s">
        <v>78</v>
      </c>
      <c r="DG46" s="13" t="s">
        <v>79</v>
      </c>
      <c r="DH46" s="13" t="s">
        <v>69</v>
      </c>
      <c r="DI46" s="13"/>
      <c r="DK46" s="13"/>
      <c r="DL46" s="13"/>
      <c r="DM46" s="13"/>
      <c r="DN46" s="81" t="s">
        <v>733</v>
      </c>
      <c r="DR46" s="31"/>
      <c r="DT46" s="55" t="s">
        <v>833</v>
      </c>
      <c r="DU46" s="4" t="s">
        <v>799</v>
      </c>
      <c r="EB46" s="13"/>
      <c r="EC46" s="16"/>
      <c r="ED46" s="26"/>
      <c r="EE46" s="26"/>
      <c r="EF46" s="24"/>
      <c r="EG46" s="24"/>
      <c r="EH46" s="24"/>
      <c r="EJ46" s="24"/>
      <c r="EK46" s="24"/>
      <c r="EL46" s="24"/>
      <c r="EM46" s="24"/>
      <c r="EO46" s="24"/>
      <c r="EP46" s="24"/>
      <c r="EQ46" s="24"/>
      <c r="ER46" s="24"/>
      <c r="ES46" s="24"/>
      <c r="ET46" s="24"/>
      <c r="EU46" s="26"/>
      <c r="EX46" s="27"/>
      <c r="EY46" t="s">
        <v>706</v>
      </c>
      <c r="EZ46" s="13" t="s">
        <v>139</v>
      </c>
      <c r="FA46" s="13" t="s">
        <v>661</v>
      </c>
      <c r="FB46" s="7" t="str">
        <f t="shared" si="73"/>
        <v>Large Twin.Small.Double</v>
      </c>
      <c r="FC46" s="122"/>
      <c r="FD46" s="13"/>
      <c r="FE46" s="13"/>
      <c r="FF46" t="s">
        <v>707</v>
      </c>
      <c r="FG46" s="121" t="s">
        <v>724</v>
      </c>
      <c r="FH46" s="90" t="s">
        <v>782</v>
      </c>
      <c r="FI46" s="66" t="s">
        <v>707</v>
      </c>
      <c r="FJ46" t="str">
        <f t="shared" si="78"/>
        <v>Spurs_Spurs_FN</v>
      </c>
      <c r="FK46" s="73">
        <v>46</v>
      </c>
      <c r="FL46" s="13">
        <f t="shared" si="60"/>
        <v>0</v>
      </c>
      <c r="FM46" s="7">
        <f t="shared" si="69"/>
        <v>0</v>
      </c>
      <c r="FN46" s="13"/>
      <c r="FO46" s="7" t="str">
        <f t="shared" si="86"/>
        <v>Hoops</v>
      </c>
      <c r="FP46" t="str">
        <f t="shared" si="70"/>
        <v>Triple Flange</v>
      </c>
      <c r="FQ46" t="str">
        <f t="shared" si="82"/>
        <v>Change to</v>
      </c>
      <c r="FR46">
        <f t="shared" si="82"/>
        <v>0</v>
      </c>
      <c r="FT46" s="13">
        <f>IF(COUNTIF(Mounts,"*"&amp;FU46&amp;"*")&gt;0=TRUE,1,0)</f>
        <v>0</v>
      </c>
      <c r="FU46" t="s">
        <v>834</v>
      </c>
      <c r="FV46" s="66"/>
      <c r="FX46" s="13">
        <v>12</v>
      </c>
      <c r="FY46" s="80" t="s">
        <v>262</v>
      </c>
      <c r="FZ46" t="s">
        <v>835</v>
      </c>
    </row>
    <row r="47" spans="1:216" x14ac:dyDescent="0.3">
      <c r="A47" s="29"/>
      <c r="B47" s="29"/>
      <c r="C47" s="50"/>
      <c r="D47" s="30" t="s">
        <v>597</v>
      </c>
      <c r="E47" s="13" t="s">
        <v>836</v>
      </c>
      <c r="F47" s="13" t="s">
        <v>527</v>
      </c>
      <c r="G47" s="141"/>
      <c r="H47" s="43"/>
      <c r="J47" s="1"/>
      <c r="K47" s="43"/>
      <c r="M47" s="24"/>
      <c r="N47" s="188"/>
      <c r="O47" s="222" t="e">
        <f t="shared" si="79"/>
        <v>#N/A</v>
      </c>
      <c r="P47" s="195">
        <f t="shared" si="80"/>
        <v>0</v>
      </c>
      <c r="Q47" s="195">
        <f t="shared" si="81"/>
        <v>0</v>
      </c>
      <c r="R47" s="29"/>
      <c r="T47" s="173"/>
      <c r="AG47" s="56" t="s">
        <v>363</v>
      </c>
      <c r="AH47" s="66" t="s">
        <v>377</v>
      </c>
      <c r="AI47" s="26" t="s">
        <v>154</v>
      </c>
      <c r="AJ47" s="104" t="s">
        <v>266</v>
      </c>
      <c r="AK47" s="105" t="s">
        <v>617</v>
      </c>
      <c r="AL47" s="6"/>
      <c r="AM47" s="6"/>
      <c r="AN47" s="6"/>
      <c r="AO47" s="6"/>
      <c r="AP47" s="6"/>
      <c r="AQ47" s="6"/>
      <c r="AR47" s="6"/>
      <c r="AT47" s="90" t="s">
        <v>837</v>
      </c>
      <c r="AU47" s="15">
        <f t="shared" si="72"/>
        <v>301</v>
      </c>
      <c r="AV47" s="15">
        <f t="shared" si="72"/>
        <v>301</v>
      </c>
      <c r="AW47" s="15">
        <f t="shared" si="72"/>
        <v>301</v>
      </c>
      <c r="AX47" s="15">
        <f t="shared" si="72"/>
        <v>0</v>
      </c>
      <c r="AY47" s="15">
        <f t="shared" si="72"/>
        <v>0</v>
      </c>
      <c r="AZ47" s="15">
        <f t="shared" si="72"/>
        <v>400</v>
      </c>
      <c r="BA47" s="15">
        <f t="shared" si="72"/>
        <v>0</v>
      </c>
      <c r="BB47" s="15">
        <f t="shared" si="72"/>
        <v>0</v>
      </c>
      <c r="BC47" s="15">
        <f t="shared" si="72"/>
        <v>0</v>
      </c>
      <c r="BD47" s="15">
        <f t="shared" si="72"/>
        <v>0</v>
      </c>
      <c r="BE47" s="15">
        <f t="shared" si="72"/>
        <v>0</v>
      </c>
      <c r="BF47" s="15">
        <f t="shared" si="72"/>
        <v>0</v>
      </c>
      <c r="BG47" s="6"/>
      <c r="BH47" s="56"/>
      <c r="BI47" s="1" t="s">
        <v>552</v>
      </c>
      <c r="BM47" s="15"/>
      <c r="BN47" s="11"/>
      <c r="BO47" s="11"/>
      <c r="BP47" s="4" t="s">
        <v>838</v>
      </c>
      <c r="BQ47" s="4"/>
      <c r="BR47" s="6" t="str">
        <f t="shared" si="75"/>
        <v>Classic Maple 8x12 Tom Tom</v>
      </c>
      <c r="BS47" s="4" t="s">
        <v>838</v>
      </c>
      <c r="BT47" s="71"/>
      <c r="BV47" s="6" t="str">
        <f t="shared" si="83"/>
        <v>Legacy Maple 8x12 Tom Tom</v>
      </c>
      <c r="BW47" s="4" t="s">
        <v>838</v>
      </c>
      <c r="BX47" s="67"/>
      <c r="BY47" s="4"/>
      <c r="BZ47" s="6" t="str">
        <f t="shared" si="84"/>
        <v>Legacy Mahogany 8x12 Tom Tom</v>
      </c>
      <c r="CA47" s="4" t="s">
        <v>838</v>
      </c>
      <c r="CB47" s="67"/>
      <c r="CC47" s="4"/>
      <c r="CD47" s="6" t="str">
        <f t="shared" si="85"/>
        <v>Legacy Exotic 8x12 Tom Tom</v>
      </c>
      <c r="CE47" s="4" t="s">
        <v>838</v>
      </c>
      <c r="CF47" s="70"/>
      <c r="CG47" s="23" t="s">
        <v>791</v>
      </c>
      <c r="CH47" s="4" t="s">
        <v>838</v>
      </c>
      <c r="CI47" s="70"/>
      <c r="CJ47" s="4"/>
      <c r="CK47" s="90"/>
      <c r="CL47" s="157"/>
      <c r="CM47" s="157"/>
      <c r="CN47" s="157"/>
      <c r="CO47" s="157"/>
      <c r="CP47" s="157"/>
      <c r="CQ47" s="157"/>
      <c r="CS47" s="157"/>
      <c r="CT47" s="70"/>
      <c r="CU47" s="4">
        <f t="shared" si="76"/>
        <v>0</v>
      </c>
      <c r="CV47" s="93" t="s">
        <v>839</v>
      </c>
      <c r="CW47" s="93" t="s">
        <v>840</v>
      </c>
      <c r="CX47" s="93" t="s">
        <v>841</v>
      </c>
      <c r="CY47" s="93" t="s">
        <v>842</v>
      </c>
      <c r="CZ47" s="93" t="s">
        <v>843</v>
      </c>
      <c r="DA47" s="70"/>
      <c r="DB47" s="13" t="s">
        <v>54</v>
      </c>
      <c r="DC47" s="16" t="str">
        <f t="shared" si="2"/>
        <v>Tom.14x15 Tom Tom</v>
      </c>
      <c r="DD47" s="4" t="s">
        <v>844</v>
      </c>
      <c r="DE47" s="69" t="str">
        <f t="shared" si="68"/>
        <v>MLLCLL</v>
      </c>
      <c r="DF47" s="13" t="s">
        <v>78</v>
      </c>
      <c r="DG47" s="13" t="s">
        <v>79</v>
      </c>
      <c r="DH47" s="13" t="s">
        <v>69</v>
      </c>
      <c r="DI47" s="13"/>
      <c r="DK47" s="13"/>
      <c r="DL47" s="13"/>
      <c r="DM47" s="13"/>
      <c r="DN47" s="81" t="s">
        <v>788</v>
      </c>
      <c r="DR47" s="31"/>
      <c r="DS47" s="54"/>
      <c r="DT47" s="55" t="s">
        <v>409</v>
      </c>
      <c r="DU47" s="4" t="s">
        <v>799</v>
      </c>
      <c r="DV47" s="4"/>
      <c r="DX47" s="4"/>
      <c r="EB47" s="13"/>
      <c r="EC47" s="16"/>
      <c r="ED47" s="26"/>
      <c r="EE47" s="26"/>
      <c r="EF47" s="24"/>
      <c r="EG47" s="24"/>
      <c r="EH47" s="24"/>
      <c r="EJ47" s="24"/>
      <c r="ES47" s="24"/>
      <c r="ET47" s="24"/>
      <c r="EU47" s="26"/>
      <c r="EX47" s="27"/>
      <c r="EY47" t="s">
        <v>723</v>
      </c>
      <c r="EZ47" s="13" t="s">
        <v>139</v>
      </c>
      <c r="FA47" s="13" t="s">
        <v>661</v>
      </c>
      <c r="FB47" s="7" t="str">
        <f t="shared" si="73"/>
        <v>Large Imperial.Small.Double</v>
      </c>
      <c r="FC47" s="209"/>
      <c r="FD47" s="13"/>
      <c r="FE47" s="13"/>
      <c r="FF47" t="s">
        <v>707</v>
      </c>
      <c r="FG47" s="121" t="s">
        <v>724</v>
      </c>
      <c r="FH47" s="90" t="s">
        <v>782</v>
      </c>
      <c r="FI47" s="66" t="s">
        <v>707</v>
      </c>
      <c r="FJ47" t="str">
        <f t="shared" si="78"/>
        <v>Spurs_Spurs_FN</v>
      </c>
      <c r="FK47" s="73">
        <v>47</v>
      </c>
      <c r="FL47" s="13">
        <f t="shared" si="60"/>
        <v>0</v>
      </c>
      <c r="FM47" s="7">
        <f t="shared" si="69"/>
        <v>0</v>
      </c>
      <c r="FN47" s="13"/>
      <c r="FO47" s="7" t="str">
        <f t="shared" si="86"/>
        <v>Batter Head</v>
      </c>
      <c r="FP47" t="str">
        <f t="shared" si="70"/>
        <v>Heavy Coated</v>
      </c>
      <c r="FQ47" t="str">
        <f t="shared" si="82"/>
        <v>Change to</v>
      </c>
      <c r="FR47">
        <f t="shared" si="82"/>
        <v>0</v>
      </c>
      <c r="FT47" s="13">
        <f>IF(COUNTIF(Mounts,"*"&amp;FU47&amp;"*")&gt;0=TRUE,1,0)</f>
        <v>0</v>
      </c>
      <c r="FU47" t="s">
        <v>845</v>
      </c>
      <c r="FV47" s="66"/>
      <c r="FX47" s="13">
        <v>12</v>
      </c>
      <c r="FY47" s="80" t="s">
        <v>300</v>
      </c>
    </row>
    <row r="48" spans="1:216" x14ac:dyDescent="0.3">
      <c r="A48" s="29"/>
      <c r="B48" s="29"/>
      <c r="C48" s="50"/>
      <c r="D48" s="30" t="s">
        <v>725</v>
      </c>
      <c r="E48" s="13" t="s">
        <v>846</v>
      </c>
      <c r="F48" s="13" t="s">
        <v>599</v>
      </c>
      <c r="H48" s="43"/>
      <c r="J48" s="1"/>
      <c r="K48" s="43"/>
      <c r="M48" s="24"/>
      <c r="N48" s="188"/>
      <c r="O48" s="222" t="e">
        <f t="shared" si="79"/>
        <v>#N/A</v>
      </c>
      <c r="P48" s="195">
        <f t="shared" si="80"/>
        <v>0</v>
      </c>
      <c r="Q48" s="195">
        <f t="shared" si="81"/>
        <v>0</v>
      </c>
      <c r="R48" s="29"/>
      <c r="T48" s="173"/>
      <c r="AD48" s="47" t="s">
        <v>847</v>
      </c>
      <c r="AG48" s="56" t="s">
        <v>380</v>
      </c>
      <c r="AH48" s="66" t="s">
        <v>377</v>
      </c>
      <c r="AI48" s="26" t="s">
        <v>154</v>
      </c>
      <c r="AJ48" s="104" t="s">
        <v>266</v>
      </c>
      <c r="AK48" s="105" t="s">
        <v>617</v>
      </c>
      <c r="AL48" s="6"/>
      <c r="AM48" s="6"/>
      <c r="AN48" s="6"/>
      <c r="AO48" s="6"/>
      <c r="AP48" s="6"/>
      <c r="AQ48" s="6"/>
      <c r="AR48" s="6"/>
      <c r="AT48" s="90" t="s">
        <v>848</v>
      </c>
      <c r="AU48" s="15">
        <f t="shared" si="72"/>
        <v>301</v>
      </c>
      <c r="AV48" s="15">
        <f t="shared" si="72"/>
        <v>301</v>
      </c>
      <c r="AW48" s="15">
        <f t="shared" si="72"/>
        <v>301</v>
      </c>
      <c r="AX48" s="15">
        <f t="shared" si="72"/>
        <v>0</v>
      </c>
      <c r="AY48" s="15">
        <f t="shared" si="72"/>
        <v>0</v>
      </c>
      <c r="AZ48" s="15">
        <f t="shared" si="72"/>
        <v>400</v>
      </c>
      <c r="BA48" s="15">
        <f t="shared" si="72"/>
        <v>0</v>
      </c>
      <c r="BB48" s="15">
        <f t="shared" si="72"/>
        <v>0</v>
      </c>
      <c r="BC48" s="15">
        <f t="shared" si="72"/>
        <v>0</v>
      </c>
      <c r="BD48" s="15">
        <f t="shared" si="72"/>
        <v>0</v>
      </c>
      <c r="BE48" s="15">
        <f t="shared" si="72"/>
        <v>0</v>
      </c>
      <c r="BF48" s="15">
        <f t="shared" si="72"/>
        <v>0</v>
      </c>
      <c r="BG48" s="6"/>
      <c r="BH48" s="56"/>
      <c r="BI48" s="1" t="s">
        <v>570</v>
      </c>
      <c r="BM48" s="15"/>
      <c r="BN48" s="11"/>
      <c r="BO48" s="11"/>
      <c r="BP48" s="4" t="s">
        <v>849</v>
      </c>
      <c r="BQ48" s="4"/>
      <c r="BR48" s="6" t="str">
        <f t="shared" si="75"/>
        <v>Classic Maple 9x12 Tom Tom</v>
      </c>
      <c r="BS48" s="4" t="s">
        <v>849</v>
      </c>
      <c r="BT48" s="71"/>
      <c r="BV48" s="6" t="str">
        <f t="shared" si="83"/>
        <v>Legacy Maple 9x12 Tom Tom</v>
      </c>
      <c r="BW48" s="4" t="s">
        <v>849</v>
      </c>
      <c r="BX48" s="67"/>
      <c r="BY48" s="4"/>
      <c r="BZ48" s="6" t="str">
        <f t="shared" si="84"/>
        <v>Legacy Mahogany 9x12 Tom Tom</v>
      </c>
      <c r="CA48" s="4" t="s">
        <v>849</v>
      </c>
      <c r="CB48" s="67"/>
      <c r="CC48" s="4"/>
      <c r="CD48" s="6" t="str">
        <f t="shared" si="85"/>
        <v>Legacy Exotic 9x12 Tom Tom</v>
      </c>
      <c r="CE48" s="4" t="s">
        <v>849</v>
      </c>
      <c r="CF48" s="70"/>
      <c r="CG48" s="23" t="s">
        <v>804</v>
      </c>
      <c r="CH48" s="4" t="s">
        <v>849</v>
      </c>
      <c r="CI48" s="70"/>
      <c r="CJ48" s="4"/>
      <c r="CK48" s="90"/>
      <c r="CL48" s="157"/>
      <c r="CM48" s="157"/>
      <c r="CN48" s="157"/>
      <c r="CO48" s="157"/>
      <c r="CP48" s="157"/>
      <c r="CQ48" s="157"/>
      <c r="CS48" s="157"/>
      <c r="CT48" s="70"/>
      <c r="CU48" s="4">
        <f t="shared" si="76"/>
        <v>0</v>
      </c>
      <c r="CV48" s="93" t="s">
        <v>850</v>
      </c>
      <c r="CW48" s="93" t="s">
        <v>851</v>
      </c>
      <c r="CX48" s="93" t="s">
        <v>852</v>
      </c>
      <c r="CY48" s="93" t="s">
        <v>853</v>
      </c>
      <c r="CZ48" s="93" t="s">
        <v>854</v>
      </c>
      <c r="DA48" s="70"/>
      <c r="DB48" s="13" t="s">
        <v>54</v>
      </c>
      <c r="DC48" s="16" t="str">
        <f t="shared" si="2"/>
        <v>Tom.14x16 Tom Tom</v>
      </c>
      <c r="DD48" s="4" t="s">
        <v>855</v>
      </c>
      <c r="DE48" s="69" t="str">
        <f t="shared" si="68"/>
        <v>MLLCLL</v>
      </c>
      <c r="DF48" s="13" t="s">
        <v>78</v>
      </c>
      <c r="DG48" s="13" t="s">
        <v>79</v>
      </c>
      <c r="DH48" s="13" t="s">
        <v>69</v>
      </c>
      <c r="DI48" s="13"/>
      <c r="DK48" s="13"/>
      <c r="DL48" s="13"/>
      <c r="DM48" s="13"/>
      <c r="DN48" s="81" t="s">
        <v>733</v>
      </c>
      <c r="DR48" s="31"/>
      <c r="DS48" s="54"/>
      <c r="DT48" s="55" t="s">
        <v>424</v>
      </c>
      <c r="DU48" s="4" t="s">
        <v>799</v>
      </c>
      <c r="DV48" s="4"/>
      <c r="DX48" s="4"/>
      <c r="EB48" s="13"/>
      <c r="EC48" s="16"/>
      <c r="ED48" s="26"/>
      <c r="EE48" s="26"/>
      <c r="EF48" s="24"/>
      <c r="EG48" s="24"/>
      <c r="EH48" s="24"/>
      <c r="EJ48" s="24"/>
      <c r="ES48" s="24"/>
      <c r="ET48" s="24"/>
      <c r="EU48" s="26"/>
      <c r="EX48" s="27"/>
      <c r="EY48" t="s">
        <v>656</v>
      </c>
      <c r="EZ48" s="13" t="s">
        <v>353</v>
      </c>
      <c r="FA48" s="13" t="s">
        <v>691</v>
      </c>
      <c r="FB48" s="7" t="str">
        <f t="shared" si="73"/>
        <v>Mini Classic.Big.Single</v>
      </c>
      <c r="FC48" s="122"/>
      <c r="FD48" t="s">
        <v>657</v>
      </c>
      <c r="FE48" t="s">
        <v>690</v>
      </c>
      <c r="FF48" t="s">
        <v>707</v>
      </c>
      <c r="FG48" s="121" t="s">
        <v>724</v>
      </c>
      <c r="FH48" s="90" t="s">
        <v>773</v>
      </c>
      <c r="FI48" s="66" t="s">
        <v>657</v>
      </c>
      <c r="FJ48" t="str">
        <f t="shared" si="78"/>
        <v>Spurs_Spurs_ECFN</v>
      </c>
      <c r="FK48" s="73">
        <v>48</v>
      </c>
      <c r="FL48" s="13">
        <f t="shared" si="60"/>
        <v>0</v>
      </c>
      <c r="FM48" s="7">
        <f t="shared" si="69"/>
        <v>0</v>
      </c>
      <c r="FN48" s="13"/>
      <c r="FO48" s="7" t="str">
        <f t="shared" si="86"/>
        <v>Bottom Head</v>
      </c>
      <c r="FP48" t="str">
        <f t="shared" si="70"/>
        <v>C11 Thin</v>
      </c>
      <c r="FQ48" t="str">
        <f t="shared" si="82"/>
        <v>No Option</v>
      </c>
      <c r="FR48">
        <f t="shared" si="82"/>
        <v>0</v>
      </c>
      <c r="FT48" s="13">
        <f>IF(COUNTIF(Mounts,"*"&amp;FU48&amp;"*")&gt;0=TRUE,1,0)</f>
        <v>0</v>
      </c>
      <c r="FU48" t="s">
        <v>856</v>
      </c>
      <c r="FV48" s="66"/>
      <c r="FX48" s="13">
        <v>12</v>
      </c>
      <c r="FY48" s="80" t="s">
        <v>319</v>
      </c>
    </row>
    <row r="49" spans="1:181" x14ac:dyDescent="0.3">
      <c r="A49" s="29"/>
      <c r="B49" s="171"/>
      <c r="C49" s="50"/>
      <c r="D49" s="30" t="s">
        <v>646</v>
      </c>
      <c r="E49" s="13" t="str">
        <f>IFERROR(INDEX(ER5:ET9,MATCH(C2,ER5:ER9,0),3),"")</f>
        <v/>
      </c>
      <c r="F49" s="13" t="str">
        <f>IF($C$2&lt;&gt;"Classic Maple","No Option","Change to")</f>
        <v>No Option</v>
      </c>
      <c r="G49" s="115"/>
      <c r="H49" s="130" t="str">
        <f ca="1">IF($G$49="","",IF(ISERROR(MATCH($G$49,INDIRECT(B29),0))=FALSE,"","Invalid Selection"))</f>
        <v/>
      </c>
      <c r="J49" s="1"/>
      <c r="K49" s="43"/>
      <c r="M49" s="24"/>
      <c r="N49" s="188"/>
      <c r="O49" s="222" t="e">
        <f t="shared" si="79"/>
        <v>#N/A</v>
      </c>
      <c r="P49" s="195">
        <f t="shared" si="80"/>
        <v>0</v>
      </c>
      <c r="Q49" s="195">
        <f t="shared" si="81"/>
        <v>0</v>
      </c>
      <c r="R49" s="29"/>
      <c r="T49" s="173"/>
      <c r="AG49" s="56" t="s">
        <v>398</v>
      </c>
      <c r="AH49" s="66" t="s">
        <v>377</v>
      </c>
      <c r="AI49" s="26" t="s">
        <v>154</v>
      </c>
      <c r="AJ49" s="104" t="s">
        <v>266</v>
      </c>
      <c r="AK49" s="105" t="s">
        <v>617</v>
      </c>
      <c r="AL49" s="6"/>
      <c r="AM49" s="6"/>
      <c r="AN49" s="6"/>
      <c r="AO49" s="6"/>
      <c r="AP49" s="6"/>
      <c r="AQ49" s="6"/>
      <c r="AR49" s="6"/>
      <c r="AT49" s="90" t="s">
        <v>857</v>
      </c>
      <c r="AU49" s="15">
        <f t="shared" si="72"/>
        <v>301</v>
      </c>
      <c r="AV49" s="15">
        <f t="shared" si="72"/>
        <v>301</v>
      </c>
      <c r="AW49" s="15">
        <f t="shared" si="72"/>
        <v>301</v>
      </c>
      <c r="AX49" s="15">
        <f t="shared" si="72"/>
        <v>0</v>
      </c>
      <c r="AY49" s="15">
        <f t="shared" si="72"/>
        <v>0</v>
      </c>
      <c r="AZ49" s="15">
        <f t="shared" si="72"/>
        <v>400</v>
      </c>
      <c r="BA49" s="15">
        <f t="shared" si="72"/>
        <v>0</v>
      </c>
      <c r="BB49" s="15">
        <f t="shared" si="72"/>
        <v>0</v>
      </c>
      <c r="BC49" s="15">
        <f t="shared" si="72"/>
        <v>0</v>
      </c>
      <c r="BD49" s="15">
        <f t="shared" si="72"/>
        <v>0</v>
      </c>
      <c r="BE49" s="15">
        <f t="shared" si="72"/>
        <v>0</v>
      </c>
      <c r="BF49" s="15">
        <f t="shared" si="72"/>
        <v>0</v>
      </c>
      <c r="BG49" s="6"/>
      <c r="BH49" s="56"/>
      <c r="BI49" s="1" t="s">
        <v>585</v>
      </c>
      <c r="BM49" s="15"/>
      <c r="BN49" s="11"/>
      <c r="BO49" s="11"/>
      <c r="BP49" s="4" t="s">
        <v>732</v>
      </c>
      <c r="BQ49" s="4"/>
      <c r="BR49" s="6" t="str">
        <f t="shared" si="75"/>
        <v>Classic Maple 10x12 Tom Tom</v>
      </c>
      <c r="BS49" s="4" t="s">
        <v>732</v>
      </c>
      <c r="BT49" s="71"/>
      <c r="BV49" s="6" t="str">
        <f t="shared" si="83"/>
        <v>Legacy Maple 10x12 Tom Tom</v>
      </c>
      <c r="BW49" s="4" t="s">
        <v>732</v>
      </c>
      <c r="BX49" s="67"/>
      <c r="BY49" s="4"/>
      <c r="BZ49" s="6" t="str">
        <f t="shared" si="84"/>
        <v>Legacy Mahogany 10x12 Tom Tom</v>
      </c>
      <c r="CA49" s="4" t="s">
        <v>732</v>
      </c>
      <c r="CB49" s="67"/>
      <c r="CC49" s="4"/>
      <c r="CD49" s="6" t="str">
        <f t="shared" si="85"/>
        <v>Legacy Exotic 10x12 Tom Tom</v>
      </c>
      <c r="CE49" s="4" t="s">
        <v>732</v>
      </c>
      <c r="CF49" s="70"/>
      <c r="CG49" s="23" t="s">
        <v>813</v>
      </c>
      <c r="CH49" s="4" t="s">
        <v>732</v>
      </c>
      <c r="CI49" s="70"/>
      <c r="CJ49" s="4"/>
      <c r="CK49" s="90"/>
      <c r="CL49" s="157"/>
      <c r="CM49" s="157"/>
      <c r="CN49" s="157"/>
      <c r="CO49" s="157"/>
      <c r="CP49" s="157"/>
      <c r="CQ49" s="157"/>
      <c r="CS49" s="157"/>
      <c r="CT49" s="70"/>
      <c r="CU49" s="4">
        <f t="shared" si="76"/>
        <v>0</v>
      </c>
      <c r="CV49" s="93" t="s">
        <v>858</v>
      </c>
      <c r="CW49" s="93" t="s">
        <v>859</v>
      </c>
      <c r="CX49" s="93" t="s">
        <v>860</v>
      </c>
      <c r="CY49" s="93" t="s">
        <v>861</v>
      </c>
      <c r="CZ49" s="93" t="s">
        <v>862</v>
      </c>
      <c r="DA49" s="70"/>
      <c r="DB49" s="13" t="s">
        <v>54</v>
      </c>
      <c r="DC49" s="16" t="str">
        <f t="shared" si="2"/>
        <v>Tom.15x16 Tom Tom</v>
      </c>
      <c r="DD49" s="4" t="s">
        <v>863</v>
      </c>
      <c r="DE49" s="69" t="str">
        <f t="shared" si="68"/>
        <v>MLLCLL</v>
      </c>
      <c r="DF49" s="13" t="s">
        <v>78</v>
      </c>
      <c r="DG49" s="13" t="s">
        <v>79</v>
      </c>
      <c r="DH49" s="13" t="s">
        <v>69</v>
      </c>
      <c r="DI49" s="13"/>
      <c r="DK49" s="13"/>
      <c r="DL49" s="13"/>
      <c r="DM49" s="13"/>
      <c r="DN49" s="81" t="s">
        <v>733</v>
      </c>
      <c r="DR49" s="31"/>
      <c r="DS49" s="54"/>
      <c r="DT49" s="55" t="s">
        <v>455</v>
      </c>
      <c r="DU49" s="4" t="s">
        <v>799</v>
      </c>
      <c r="DV49" s="4"/>
      <c r="DX49" s="4"/>
      <c r="EB49" s="13"/>
      <c r="EC49" s="16"/>
      <c r="ED49" s="26"/>
      <c r="EE49" s="26"/>
      <c r="EF49" s="24"/>
      <c r="EG49" s="24"/>
      <c r="EH49" s="24"/>
      <c r="EJ49" s="24"/>
      <c r="ES49" s="24"/>
      <c r="ET49" s="24"/>
      <c r="EU49" s="26"/>
      <c r="EX49" s="27"/>
      <c r="EY49" t="s">
        <v>674</v>
      </c>
      <c r="EZ49" s="13" t="s">
        <v>353</v>
      </c>
      <c r="FA49" s="13" t="s">
        <v>691</v>
      </c>
      <c r="FB49" s="7" t="str">
        <f t="shared" si="73"/>
        <v>Large Classic.Big.Single</v>
      </c>
      <c r="FC49" s="122"/>
      <c r="FD49" t="s">
        <v>657</v>
      </c>
      <c r="FE49" t="s">
        <v>690</v>
      </c>
      <c r="FF49" t="s">
        <v>707</v>
      </c>
      <c r="FG49" s="121" t="s">
        <v>724</v>
      </c>
      <c r="FH49" s="90" t="s">
        <v>773</v>
      </c>
      <c r="FI49" s="66" t="s">
        <v>657</v>
      </c>
      <c r="FJ49" t="str">
        <f t="shared" si="78"/>
        <v>Spurs_Spurs_ECFN</v>
      </c>
      <c r="FK49" s="73">
        <v>49</v>
      </c>
      <c r="FL49" s="13">
        <f t="shared" si="60"/>
        <v>0</v>
      </c>
      <c r="FM49" s="7">
        <f t="shared" si="69"/>
        <v>0</v>
      </c>
      <c r="FN49" s="13"/>
      <c r="FO49" s="7" t="str">
        <f t="shared" si="86"/>
        <v>Bearing Edge</v>
      </c>
      <c r="FP49" t="str">
        <f t="shared" si="70"/>
        <v/>
      </c>
      <c r="FQ49" t="str">
        <f t="shared" si="82"/>
        <v>No Option</v>
      </c>
      <c r="FR49">
        <f t="shared" si="82"/>
        <v>0</v>
      </c>
      <c r="FY49" s="13"/>
    </row>
    <row r="50" spans="1:181" ht="15" thickBot="1" x14ac:dyDescent="0.35">
      <c r="B50" s="231" t="s">
        <v>1199</v>
      </c>
      <c r="C50" s="51"/>
      <c r="D50" s="106" t="s">
        <v>41</v>
      </c>
      <c r="E50" s="13" t="s">
        <v>545</v>
      </c>
      <c r="F50" s="13" t="str">
        <f>IF(GH21= "Yes","Change to","No Option")</f>
        <v>No Option</v>
      </c>
      <c r="G50" s="217"/>
      <c r="H50" s="130" t="str">
        <f ca="1">IF($G$50="","",IF(ISERROR(MATCH($G$50,INDIRECT(GH28),0))=FALSE,"","Invalid Selection"))</f>
        <v/>
      </c>
      <c r="M50" s="24"/>
      <c r="O50" s="222" t="e">
        <f t="shared" si="79"/>
        <v>#N/A</v>
      </c>
      <c r="P50" s="195">
        <f t="shared" si="80"/>
        <v>0</v>
      </c>
      <c r="Q50" s="195">
        <f t="shared" si="81"/>
        <v>0</v>
      </c>
      <c r="T50" s="173"/>
      <c r="Z50" s="56" t="s">
        <v>864</v>
      </c>
      <c r="AB50" s="13"/>
      <c r="AC50" s="13"/>
      <c r="AD50" s="13"/>
      <c r="AG50" s="56" t="s">
        <v>443</v>
      </c>
      <c r="AH50" s="66" t="s">
        <v>377</v>
      </c>
      <c r="AI50" s="26" t="s">
        <v>154</v>
      </c>
      <c r="AJ50" s="104" t="s">
        <v>266</v>
      </c>
      <c r="AK50" s="105" t="s">
        <v>617</v>
      </c>
      <c r="AL50" s="6"/>
      <c r="AM50" s="6"/>
      <c r="AN50" s="6"/>
      <c r="AO50" s="6"/>
      <c r="AP50" s="6"/>
      <c r="AQ50" s="6"/>
      <c r="AR50" s="6"/>
      <c r="AT50" s="90" t="s">
        <v>865</v>
      </c>
      <c r="AU50" s="15">
        <f t="shared" si="72"/>
        <v>301</v>
      </c>
      <c r="AV50" s="15">
        <f t="shared" si="72"/>
        <v>301</v>
      </c>
      <c r="AW50" s="15">
        <f t="shared" si="72"/>
        <v>301</v>
      </c>
      <c r="AX50" s="15">
        <f t="shared" si="72"/>
        <v>0</v>
      </c>
      <c r="AY50" s="15">
        <f t="shared" si="72"/>
        <v>0</v>
      </c>
      <c r="AZ50" s="15">
        <f t="shared" si="72"/>
        <v>400</v>
      </c>
      <c r="BA50" s="15">
        <f t="shared" si="72"/>
        <v>0</v>
      </c>
      <c r="BB50" s="15">
        <f t="shared" si="72"/>
        <v>0</v>
      </c>
      <c r="BC50" s="15">
        <f t="shared" si="72"/>
        <v>0</v>
      </c>
      <c r="BD50" s="15">
        <f t="shared" si="72"/>
        <v>0</v>
      </c>
      <c r="BE50" s="15">
        <f t="shared" si="72"/>
        <v>0</v>
      </c>
      <c r="BF50" s="15">
        <f t="shared" si="72"/>
        <v>0</v>
      </c>
      <c r="BG50" s="6"/>
      <c r="BH50" s="56"/>
      <c r="BI50" s="1" t="s">
        <v>571</v>
      </c>
      <c r="BM50" s="15"/>
      <c r="BN50" s="11"/>
      <c r="BO50" s="11"/>
      <c r="BP50" s="4" t="s">
        <v>749</v>
      </c>
      <c r="BQ50" s="4"/>
      <c r="BR50" s="6" t="str">
        <f t="shared" si="75"/>
        <v>Classic Maple 11x12 Tom Tom</v>
      </c>
      <c r="BS50" s="4" t="s">
        <v>749</v>
      </c>
      <c r="BT50" s="71"/>
      <c r="BV50" s="6" t="str">
        <f t="shared" si="83"/>
        <v>Legacy Maple 11x12 Tom Tom</v>
      </c>
      <c r="BW50" s="4" t="s">
        <v>749</v>
      </c>
      <c r="BX50" s="67"/>
      <c r="BY50" s="4"/>
      <c r="BZ50" s="6" t="str">
        <f t="shared" si="84"/>
        <v>Legacy Mahogany 11x12 Tom Tom</v>
      </c>
      <c r="CA50" s="4" t="s">
        <v>749</v>
      </c>
      <c r="CB50" s="67"/>
      <c r="CC50" s="4"/>
      <c r="CD50" s="6" t="str">
        <f t="shared" si="85"/>
        <v>Legacy Exotic 11x12 Tom Tom</v>
      </c>
      <c r="CE50" s="4" t="s">
        <v>749</v>
      </c>
      <c r="CF50" s="70"/>
      <c r="CG50" s="23" t="s">
        <v>825</v>
      </c>
      <c r="CH50" s="4" t="s">
        <v>749</v>
      </c>
      <c r="CI50" s="70"/>
      <c r="CJ50" s="4"/>
      <c r="CK50" s="90"/>
      <c r="CL50" s="157"/>
      <c r="CM50" s="157"/>
      <c r="CN50" s="157"/>
      <c r="CO50" s="157"/>
      <c r="CP50" s="157"/>
      <c r="CQ50" s="157"/>
      <c r="CS50" s="157"/>
      <c r="CT50" s="70"/>
      <c r="CU50" s="4">
        <f t="shared" si="76"/>
        <v>0</v>
      </c>
      <c r="CV50" s="93" t="s">
        <v>866</v>
      </c>
      <c r="CW50" s="93" t="s">
        <v>867</v>
      </c>
      <c r="CX50" s="93" t="s">
        <v>868</v>
      </c>
      <c r="CY50" s="93" t="s">
        <v>869</v>
      </c>
      <c r="CZ50" s="93" t="s">
        <v>870</v>
      </c>
      <c r="DA50" s="70"/>
      <c r="DB50" s="13" t="s">
        <v>54</v>
      </c>
      <c r="DC50" s="16" t="str">
        <f t="shared" si="2"/>
        <v>Tom.16x16 Tom Tom</v>
      </c>
      <c r="DD50" s="4" t="s">
        <v>871</v>
      </c>
      <c r="DE50" s="69" t="str">
        <f t="shared" si="68"/>
        <v>MLLCLL</v>
      </c>
      <c r="DF50" s="13" t="s">
        <v>78</v>
      </c>
      <c r="DG50" s="13" t="s">
        <v>79</v>
      </c>
      <c r="DH50" s="13" t="s">
        <v>69</v>
      </c>
      <c r="DI50" s="13"/>
      <c r="DK50" s="13"/>
      <c r="DL50" s="13"/>
      <c r="DM50" s="13"/>
      <c r="DN50" s="81" t="s">
        <v>733</v>
      </c>
      <c r="DS50" s="54"/>
      <c r="DT50" s="55" t="s">
        <v>288</v>
      </c>
      <c r="DU50" s="4" t="s">
        <v>799</v>
      </c>
      <c r="EB50" s="13"/>
      <c r="EC50" s="16"/>
      <c r="ED50" s="26"/>
      <c r="EE50" s="26"/>
      <c r="EF50" s="24"/>
      <c r="EG50" s="24"/>
      <c r="EH50" s="24"/>
      <c r="EJ50" s="24"/>
      <c r="ES50" s="24"/>
      <c r="ET50" s="24"/>
      <c r="EU50" s="26"/>
      <c r="EX50" s="27"/>
      <c r="EY50" t="s">
        <v>689</v>
      </c>
      <c r="EZ50" s="13" t="s">
        <v>353</v>
      </c>
      <c r="FA50" s="13" t="s">
        <v>691</v>
      </c>
      <c r="FB50" s="7" t="str">
        <f t="shared" si="73"/>
        <v>Mach Lugs.Big.Single</v>
      </c>
      <c r="FC50" s="122"/>
      <c r="FD50" t="s">
        <v>657</v>
      </c>
      <c r="FE50" t="s">
        <v>690</v>
      </c>
      <c r="FF50" t="s">
        <v>707</v>
      </c>
      <c r="FG50" s="121" t="s">
        <v>724</v>
      </c>
      <c r="FH50" s="90" t="s">
        <v>773</v>
      </c>
      <c r="FI50" s="66" t="s">
        <v>657</v>
      </c>
      <c r="FJ50" t="str">
        <f t="shared" si="78"/>
        <v>Spurs_Spurs_ECFN</v>
      </c>
      <c r="FK50" s="73">
        <v>50</v>
      </c>
      <c r="FN50" s="13"/>
      <c r="FO50" s="13" t="str">
        <f t="shared" si="86"/>
        <v>Snare Bed</v>
      </c>
      <c r="FT50" s="13">
        <f>IF(COUNTIF(Mounts,"*"&amp;FU50&amp;"*")&gt;0=TRUE,1,0)</f>
        <v>0</v>
      </c>
      <c r="FU50" t="s">
        <v>872</v>
      </c>
      <c r="FV50" s="66"/>
      <c r="FX50" s="13">
        <v>10</v>
      </c>
      <c r="FY50" s="80" t="s">
        <v>355</v>
      </c>
    </row>
    <row r="51" spans="1:181" x14ac:dyDescent="0.3">
      <c r="B51" s="225" t="str">
        <f>CONCATENATE("Prices effective ",MID(CK1,4,2),"/",RIGHT(CK1,2),"/20",MID(CK1,2,2))</f>
        <v>Prices effective 01/15/2022</v>
      </c>
      <c r="C51" s="112"/>
      <c r="D51" s="112"/>
      <c r="E51" s="112"/>
      <c r="F51" s="28"/>
      <c r="G51" s="112"/>
      <c r="H51" s="1"/>
      <c r="M51" s="24"/>
      <c r="T51" s="173"/>
      <c r="Y51" s="13"/>
      <c r="Z51" t="s">
        <v>873</v>
      </c>
      <c r="AA51" s="7" t="s">
        <v>11</v>
      </c>
      <c r="AB51" s="7" t="s">
        <v>12</v>
      </c>
      <c r="AC51" s="7" t="s">
        <v>13</v>
      </c>
      <c r="AD51" s="7" t="s">
        <v>14</v>
      </c>
      <c r="AE51" s="7" t="s">
        <v>15</v>
      </c>
      <c r="AG51" s="56" t="s">
        <v>458</v>
      </c>
      <c r="AH51" s="66" t="s">
        <v>377</v>
      </c>
      <c r="AI51" s="26" t="s">
        <v>154</v>
      </c>
      <c r="AJ51" s="104" t="s">
        <v>269</v>
      </c>
      <c r="AK51" s="105" t="s">
        <v>617</v>
      </c>
      <c r="AL51" s="6"/>
      <c r="AM51" s="6"/>
      <c r="AN51" s="6"/>
      <c r="AO51" s="6"/>
      <c r="AP51" s="6"/>
      <c r="AQ51" s="6"/>
      <c r="AR51" s="6"/>
      <c r="AT51" s="90" t="s">
        <v>874</v>
      </c>
      <c r="AU51" s="15">
        <f t="shared" si="72"/>
        <v>121</v>
      </c>
      <c r="AV51" s="15">
        <f t="shared" si="72"/>
        <v>121</v>
      </c>
      <c r="AW51" s="15">
        <f t="shared" si="72"/>
        <v>121</v>
      </c>
      <c r="AX51" s="15">
        <f t="shared" si="72"/>
        <v>0</v>
      </c>
      <c r="AY51" s="15">
        <f t="shared" si="72"/>
        <v>0</v>
      </c>
      <c r="AZ51" s="15">
        <f t="shared" si="72"/>
        <v>404</v>
      </c>
      <c r="BA51" s="15">
        <f t="shared" si="72"/>
        <v>0</v>
      </c>
      <c r="BB51" s="15">
        <f t="shared" si="72"/>
        <v>0</v>
      </c>
      <c r="BC51" s="15">
        <f t="shared" si="72"/>
        <v>0</v>
      </c>
      <c r="BD51" s="15">
        <f t="shared" si="72"/>
        <v>0</v>
      </c>
      <c r="BE51" s="15">
        <f t="shared" si="72"/>
        <v>0</v>
      </c>
      <c r="BF51" s="15">
        <f t="shared" si="72"/>
        <v>0</v>
      </c>
      <c r="BG51" s="6"/>
      <c r="BH51" s="56"/>
      <c r="BI51" s="1" t="s">
        <v>603</v>
      </c>
      <c r="BM51" s="15"/>
      <c r="BN51" s="11"/>
      <c r="BO51" s="11"/>
      <c r="BP51" s="4" t="s">
        <v>875</v>
      </c>
      <c r="BQ51" s="4"/>
      <c r="BR51" s="6" t="str">
        <f t="shared" si="75"/>
        <v>Classic Maple 9x13 Tom Tom</v>
      </c>
      <c r="BS51" s="4" t="s">
        <v>875</v>
      </c>
      <c r="BT51" s="71"/>
      <c r="BV51" s="6" t="str">
        <f t="shared" si="83"/>
        <v>Legacy Maple 9x13 Tom Tom</v>
      </c>
      <c r="BW51" s="4" t="s">
        <v>875</v>
      </c>
      <c r="BX51" s="67"/>
      <c r="BY51" s="4"/>
      <c r="BZ51" s="6" t="str">
        <f t="shared" si="84"/>
        <v>Legacy Mahogany 9x13 Tom Tom</v>
      </c>
      <c r="CA51" s="4" t="s">
        <v>875</v>
      </c>
      <c r="CB51" s="67"/>
      <c r="CC51" s="4"/>
      <c r="CD51" s="6" t="str">
        <f t="shared" si="85"/>
        <v>Legacy Exotic 9x13 Tom Tom</v>
      </c>
      <c r="CE51" s="4" t="s">
        <v>875</v>
      </c>
      <c r="CF51" s="70"/>
      <c r="CG51" s="23" t="s">
        <v>837</v>
      </c>
      <c r="CH51" s="4" t="s">
        <v>875</v>
      </c>
      <c r="CI51" s="70"/>
      <c r="CJ51" s="4"/>
      <c r="CK51" s="90"/>
      <c r="CL51" s="157"/>
      <c r="CM51" s="157"/>
      <c r="CN51" s="157"/>
      <c r="CO51" s="157"/>
      <c r="CP51" s="157"/>
      <c r="CQ51" s="157"/>
      <c r="CR51" s="158"/>
      <c r="CS51" s="157"/>
      <c r="CT51" s="157"/>
      <c r="CU51" s="4">
        <f t="shared" si="76"/>
        <v>0</v>
      </c>
      <c r="CV51" s="93" t="s">
        <v>876</v>
      </c>
      <c r="CW51" s="93" t="s">
        <v>877</v>
      </c>
      <c r="CX51" s="93" t="s">
        <v>878</v>
      </c>
      <c r="CY51" s="93" t="s">
        <v>879</v>
      </c>
      <c r="CZ51" s="93" t="s">
        <v>880</v>
      </c>
      <c r="DA51" s="70"/>
      <c r="DB51" s="13" t="s">
        <v>54</v>
      </c>
      <c r="DC51" s="16" t="str">
        <f t="shared" si="2"/>
        <v xml:space="preserve">Tom.7.5x10 Tom Tom </v>
      </c>
      <c r="DD51" s="4" t="s">
        <v>805</v>
      </c>
      <c r="DE51" s="69" t="str">
        <f t="shared" si="68"/>
        <v>ML</v>
      </c>
      <c r="DF51" s="13" t="s">
        <v>78</v>
      </c>
      <c r="DG51" s="13"/>
      <c r="DH51" s="13"/>
      <c r="DI51" s="13"/>
      <c r="DK51" s="13"/>
      <c r="DL51" s="13"/>
      <c r="DM51" s="13"/>
      <c r="DN51" s="81" t="s">
        <v>733</v>
      </c>
      <c r="DR51" s="31"/>
      <c r="DS51" s="54"/>
      <c r="DT51" s="55" t="s">
        <v>470</v>
      </c>
      <c r="DU51" s="4" t="s">
        <v>799</v>
      </c>
      <c r="DV51" s="4"/>
      <c r="DX51" s="4"/>
      <c r="EB51" s="13"/>
      <c r="EC51" s="16"/>
      <c r="ED51" s="26"/>
      <c r="EE51" s="26"/>
      <c r="EF51" s="24"/>
      <c r="EG51" s="24"/>
      <c r="EH51" s="24"/>
      <c r="EJ51" s="24"/>
      <c r="ES51" s="24"/>
      <c r="ET51" s="24"/>
      <c r="EU51" s="26"/>
      <c r="EX51" s="27"/>
      <c r="EY51" t="s">
        <v>706</v>
      </c>
      <c r="EZ51" s="13" t="s">
        <v>353</v>
      </c>
      <c r="FA51" s="13" t="s">
        <v>691</v>
      </c>
      <c r="FB51" s="7" t="str">
        <f t="shared" si="73"/>
        <v>Large Twin.Big.Single</v>
      </c>
      <c r="FC51" s="122"/>
      <c r="FD51" s="13"/>
      <c r="FE51" s="13"/>
      <c r="FF51" t="s">
        <v>707</v>
      </c>
      <c r="FG51" s="121" t="s">
        <v>724</v>
      </c>
      <c r="FH51" s="90" t="s">
        <v>782</v>
      </c>
      <c r="FI51" s="66" t="s">
        <v>707</v>
      </c>
      <c r="FJ51" t="str">
        <f t="shared" si="78"/>
        <v>Spurs_Spurs_FN</v>
      </c>
      <c r="FK51" s="73">
        <v>51</v>
      </c>
      <c r="FT51" s="13">
        <f>IF(COUNTIF(Mounts,"*"&amp;FU51&amp;"*")&gt;0=TRUE,1,0)</f>
        <v>0</v>
      </c>
      <c r="FU51" t="s">
        <v>881</v>
      </c>
      <c r="FV51" s="66"/>
      <c r="FX51" s="13">
        <v>10</v>
      </c>
      <c r="FY51" s="80" t="s">
        <v>373</v>
      </c>
    </row>
    <row r="52" spans="1:181" x14ac:dyDescent="0.3">
      <c r="A52" s="11"/>
      <c r="B52" s="201"/>
      <c r="C52" s="130"/>
      <c r="D52" s="130"/>
      <c r="E52" s="130"/>
      <c r="F52" s="8"/>
      <c r="G52" s="130"/>
      <c r="H52" s="130"/>
      <c r="M52" s="24"/>
      <c r="T52" s="173"/>
      <c r="Y52" s="13"/>
      <c r="Z52" s="13" t="s">
        <v>52</v>
      </c>
      <c r="AA52" t="s">
        <v>882</v>
      </c>
      <c r="AB52" t="s">
        <v>883</v>
      </c>
      <c r="AC52" t="s">
        <v>884</v>
      </c>
      <c r="AD52" t="s">
        <v>885</v>
      </c>
      <c r="AE52" t="s">
        <v>886</v>
      </c>
      <c r="AG52" s="56" t="s">
        <v>477</v>
      </c>
      <c r="AH52" s="66" t="s">
        <v>377</v>
      </c>
      <c r="AI52" s="26" t="s">
        <v>154</v>
      </c>
      <c r="AJ52" s="104" t="s">
        <v>267</v>
      </c>
      <c r="AK52" s="105" t="s">
        <v>617</v>
      </c>
      <c r="AL52" s="6"/>
      <c r="AM52" s="6"/>
      <c r="AN52" s="6"/>
      <c r="AO52" s="6"/>
      <c r="AP52" s="6"/>
      <c r="AQ52" s="6"/>
      <c r="AR52" s="6"/>
      <c r="AT52" s="90" t="s">
        <v>887</v>
      </c>
      <c r="AU52" s="15">
        <f t="shared" si="72"/>
        <v>121</v>
      </c>
      <c r="AV52" s="15">
        <f t="shared" si="72"/>
        <v>121</v>
      </c>
      <c r="AW52" s="15">
        <f t="shared" si="72"/>
        <v>121</v>
      </c>
      <c r="AX52" s="15">
        <f t="shared" si="72"/>
        <v>0</v>
      </c>
      <c r="AY52" s="15">
        <f t="shared" si="72"/>
        <v>0</v>
      </c>
      <c r="AZ52" s="15">
        <f t="shared" si="72"/>
        <v>404</v>
      </c>
      <c r="BA52" s="15">
        <f t="shared" si="72"/>
        <v>0</v>
      </c>
      <c r="BB52" s="15">
        <f t="shared" si="72"/>
        <v>0</v>
      </c>
      <c r="BC52" s="15">
        <f t="shared" si="72"/>
        <v>0</v>
      </c>
      <c r="BD52" s="15">
        <f t="shared" si="72"/>
        <v>0</v>
      </c>
      <c r="BE52" s="15">
        <f t="shared" si="72"/>
        <v>0</v>
      </c>
      <c r="BF52" s="15">
        <f t="shared" si="72"/>
        <v>0</v>
      </c>
      <c r="BG52" s="6"/>
      <c r="BH52" s="56"/>
      <c r="BI52" s="1" t="s">
        <v>617</v>
      </c>
      <c r="BM52" s="15"/>
      <c r="BN52" s="11"/>
      <c r="BO52" s="11"/>
      <c r="BP52" s="4" t="s">
        <v>742</v>
      </c>
      <c r="BQ52" s="4"/>
      <c r="BR52" s="6" t="str">
        <f t="shared" si="75"/>
        <v>Classic Maple 10x13 Tom Tom</v>
      </c>
      <c r="BS52" s="4" t="s">
        <v>742</v>
      </c>
      <c r="BT52" s="71"/>
      <c r="BV52" s="6" t="str">
        <f t="shared" si="83"/>
        <v>Legacy Maple 10x13 Tom Tom</v>
      </c>
      <c r="BW52" s="4" t="s">
        <v>742</v>
      </c>
      <c r="BX52" s="67"/>
      <c r="BY52" s="4"/>
      <c r="BZ52" s="6" t="str">
        <f t="shared" si="84"/>
        <v>Legacy Mahogany 10x13 Tom Tom</v>
      </c>
      <c r="CA52" s="4" t="s">
        <v>742</v>
      </c>
      <c r="CB52" s="67"/>
      <c r="CC52" s="4"/>
      <c r="CD52" s="6" t="str">
        <f t="shared" si="85"/>
        <v>Legacy Exotic 10x13 Tom Tom</v>
      </c>
      <c r="CE52" s="4" t="s">
        <v>742</v>
      </c>
      <c r="CF52" s="70"/>
      <c r="CG52" s="23" t="s">
        <v>848</v>
      </c>
      <c r="CH52" s="4" t="s">
        <v>742</v>
      </c>
      <c r="CI52" s="70"/>
      <c r="CJ52" s="4"/>
      <c r="CK52" s="90"/>
      <c r="CL52" s="157"/>
      <c r="CM52" s="157"/>
      <c r="CN52" s="157"/>
      <c r="CO52" s="157"/>
      <c r="CP52" s="157"/>
      <c r="CQ52" s="157"/>
      <c r="CR52" s="158"/>
      <c r="CS52" s="157"/>
      <c r="CT52" s="157"/>
      <c r="CU52" s="4">
        <f t="shared" si="76"/>
        <v>0</v>
      </c>
      <c r="CV52" s="93" t="s">
        <v>888</v>
      </c>
      <c r="CW52" s="93" t="s">
        <v>889</v>
      </c>
      <c r="CX52" s="93" t="s">
        <v>890</v>
      </c>
      <c r="CY52" s="93" t="s">
        <v>891</v>
      </c>
      <c r="CZ52" s="93" t="s">
        <v>892</v>
      </c>
      <c r="DA52" s="70"/>
      <c r="DB52" s="13" t="s">
        <v>54</v>
      </c>
      <c r="DC52" s="16" t="str">
        <f t="shared" si="2"/>
        <v>Tom.7x10 Tom Tom</v>
      </c>
      <c r="DD52" s="4" t="s">
        <v>792</v>
      </c>
      <c r="DE52" s="69" t="str">
        <f t="shared" si="68"/>
        <v>MLSIST</v>
      </c>
      <c r="DF52" s="13" t="s">
        <v>78</v>
      </c>
      <c r="DG52" s="13"/>
      <c r="DH52" s="13"/>
      <c r="DI52" s="13"/>
      <c r="DK52" s="13" t="s">
        <v>82</v>
      </c>
      <c r="DL52" s="13" t="s">
        <v>83</v>
      </c>
      <c r="DM52" s="13"/>
      <c r="DN52" s="81" t="s">
        <v>733</v>
      </c>
      <c r="DR52" s="31"/>
      <c r="DS52" s="54"/>
      <c r="DT52" s="55" t="s">
        <v>340</v>
      </c>
      <c r="DU52" s="4" t="s">
        <v>893</v>
      </c>
      <c r="DV52" s="4" t="s">
        <v>743</v>
      </c>
      <c r="EB52" s="13"/>
      <c r="EC52" s="16"/>
      <c r="ED52" s="26"/>
      <c r="EE52" s="26"/>
      <c r="EF52" s="24"/>
      <c r="EG52" s="24"/>
      <c r="EH52" s="24"/>
      <c r="EJ52" s="24"/>
      <c r="ES52" s="24"/>
      <c r="ET52" s="24"/>
      <c r="EU52" s="26"/>
      <c r="EX52" s="27"/>
      <c r="EY52" t="s">
        <v>723</v>
      </c>
      <c r="EZ52" s="13" t="s">
        <v>353</v>
      </c>
      <c r="FA52" s="13" t="s">
        <v>691</v>
      </c>
      <c r="FB52" s="7" t="str">
        <f t="shared" si="73"/>
        <v>Large Imperial.Big.Single</v>
      </c>
      <c r="FC52" s="209"/>
      <c r="FD52" s="13"/>
      <c r="FE52" s="13"/>
      <c r="FF52" t="s">
        <v>707</v>
      </c>
      <c r="FG52" s="121" t="s">
        <v>724</v>
      </c>
      <c r="FH52" s="90" t="s">
        <v>782</v>
      </c>
      <c r="FI52" s="66" t="s">
        <v>707</v>
      </c>
      <c r="FJ52" t="str">
        <f t="shared" si="78"/>
        <v>Spurs_Spurs_FN</v>
      </c>
      <c r="FK52" s="73">
        <v>52</v>
      </c>
      <c r="FQ52" s="14" t="s">
        <v>894</v>
      </c>
      <c r="FR52">
        <f>IF(SUM(FT46:FT48)&gt;0,1,0)</f>
        <v>0</v>
      </c>
      <c r="FY52" s="13"/>
    </row>
    <row r="53" spans="1:181" x14ac:dyDescent="0.3">
      <c r="A53" s="11"/>
      <c r="B53" s="11"/>
      <c r="C53" s="130"/>
      <c r="D53" s="130"/>
      <c r="E53" s="130"/>
      <c r="F53" s="8"/>
      <c r="G53" s="75"/>
      <c r="H53" s="130"/>
      <c r="M53" s="75"/>
      <c r="T53" s="173"/>
      <c r="Y53" s="13"/>
      <c r="Z53" s="13" t="s">
        <v>54</v>
      </c>
      <c r="AA53" t="s">
        <v>895</v>
      </c>
      <c r="AB53" t="s">
        <v>896</v>
      </c>
      <c r="AC53" t="s">
        <v>897</v>
      </c>
      <c r="AD53" t="s">
        <v>898</v>
      </c>
      <c r="AE53" t="s">
        <v>899</v>
      </c>
      <c r="AG53" s="56" t="s">
        <v>493</v>
      </c>
      <c r="AH53" s="66" t="s">
        <v>377</v>
      </c>
      <c r="AI53" s="26" t="s">
        <v>154</v>
      </c>
      <c r="AJ53" s="104" t="s">
        <v>268</v>
      </c>
      <c r="AK53" s="105" t="s">
        <v>617</v>
      </c>
      <c r="AL53" s="6"/>
      <c r="AM53" s="6"/>
      <c r="AN53" s="6"/>
      <c r="AO53" s="6"/>
      <c r="AP53" s="6"/>
      <c r="AQ53" s="6"/>
      <c r="AR53" s="6"/>
      <c r="AT53" s="90" t="s">
        <v>900</v>
      </c>
      <c r="AU53" s="15">
        <f t="shared" ref="AU53:BF68" si="87">IFERROR(INDEX($AT$81:$BA$972,MATCH(CONCATENATE($AT53,".",AU$3),$AT$81:$AT$972,0),6),9999)</f>
        <v>121</v>
      </c>
      <c r="AV53" s="15">
        <f t="shared" si="87"/>
        <v>121</v>
      </c>
      <c r="AW53" s="15">
        <f t="shared" si="87"/>
        <v>121</v>
      </c>
      <c r="AX53" s="15">
        <f t="shared" si="87"/>
        <v>0</v>
      </c>
      <c r="AY53" s="15">
        <f t="shared" si="87"/>
        <v>0</v>
      </c>
      <c r="AZ53" s="15">
        <f t="shared" si="87"/>
        <v>404</v>
      </c>
      <c r="BA53" s="15">
        <f t="shared" si="87"/>
        <v>0</v>
      </c>
      <c r="BB53" s="15">
        <f t="shared" si="87"/>
        <v>0</v>
      </c>
      <c r="BC53" s="15">
        <f t="shared" si="87"/>
        <v>0</v>
      </c>
      <c r="BD53" s="15">
        <f t="shared" si="87"/>
        <v>0</v>
      </c>
      <c r="BE53" s="15">
        <f t="shared" si="87"/>
        <v>0</v>
      </c>
      <c r="BF53" s="15">
        <f t="shared" si="87"/>
        <v>0</v>
      </c>
      <c r="BG53" s="6"/>
      <c r="BH53" s="56"/>
      <c r="BI53" s="1" t="s">
        <v>631</v>
      </c>
      <c r="BM53" s="15"/>
      <c r="BN53" s="11"/>
      <c r="BO53" s="11"/>
      <c r="BP53" s="4" t="s">
        <v>760</v>
      </c>
      <c r="BQ53" s="4"/>
      <c r="BR53" s="6" t="str">
        <f t="shared" si="75"/>
        <v>Classic Maple 11x13 Tom Tom</v>
      </c>
      <c r="BS53" s="4" t="s">
        <v>760</v>
      </c>
      <c r="BT53" s="71"/>
      <c r="BV53" s="6" t="str">
        <f t="shared" si="83"/>
        <v>Legacy Maple 11x13 Tom Tom</v>
      </c>
      <c r="BW53" s="4" t="s">
        <v>760</v>
      </c>
      <c r="BX53" s="67"/>
      <c r="BY53" s="4"/>
      <c r="BZ53" s="6" t="str">
        <f t="shared" si="84"/>
        <v>Legacy Mahogany 11x13 Tom Tom</v>
      </c>
      <c r="CA53" s="4" t="s">
        <v>760</v>
      </c>
      <c r="CB53" s="67"/>
      <c r="CC53" s="4"/>
      <c r="CD53" s="6" t="str">
        <f t="shared" si="85"/>
        <v>Legacy Exotic 11x13 Tom Tom</v>
      </c>
      <c r="CE53" s="4" t="s">
        <v>760</v>
      </c>
      <c r="CF53" s="70"/>
      <c r="CG53" s="23" t="s">
        <v>857</v>
      </c>
      <c r="CH53" s="4" t="s">
        <v>760</v>
      </c>
      <c r="CI53" s="70"/>
      <c r="CJ53" s="4"/>
      <c r="CK53" s="90"/>
      <c r="CL53" s="157"/>
      <c r="CM53" s="157"/>
      <c r="CN53" s="157"/>
      <c r="CO53" s="157"/>
      <c r="CP53" s="157"/>
      <c r="CQ53" s="157"/>
      <c r="CR53" s="156"/>
      <c r="CS53" s="157"/>
      <c r="CT53" s="157"/>
      <c r="CU53" s="4">
        <f t="shared" si="76"/>
        <v>0</v>
      </c>
      <c r="CV53" s="93" t="s">
        <v>901</v>
      </c>
      <c r="CW53" s="93" t="s">
        <v>902</v>
      </c>
      <c r="CX53" s="93" t="s">
        <v>903</v>
      </c>
      <c r="CY53" s="93" t="s">
        <v>904</v>
      </c>
      <c r="CZ53" s="93" t="s">
        <v>905</v>
      </c>
      <c r="DA53" s="70"/>
      <c r="DB53" s="13" t="s">
        <v>54</v>
      </c>
      <c r="DC53" s="16" t="str">
        <f t="shared" si="2"/>
        <v xml:space="preserve">Tom.7x6 Tom Tom </v>
      </c>
      <c r="DD53" s="4" t="s">
        <v>764</v>
      </c>
      <c r="DE53" s="69" t="str">
        <f t="shared" si="68"/>
        <v>ML</v>
      </c>
      <c r="DF53" s="13" t="s">
        <v>78</v>
      </c>
      <c r="DG53" s="13"/>
      <c r="DH53" s="13"/>
      <c r="DI53" s="13"/>
      <c r="DK53" s="13"/>
      <c r="DL53" s="13"/>
      <c r="DM53" s="13"/>
      <c r="DN53" s="81" t="s">
        <v>788</v>
      </c>
      <c r="DR53" s="31"/>
      <c r="DS53" s="54"/>
      <c r="DT53" s="55" t="s">
        <v>375</v>
      </c>
      <c r="DU53" s="4" t="s">
        <v>893</v>
      </c>
      <c r="DV53" s="4"/>
      <c r="EB53" s="13"/>
      <c r="EC53" s="16"/>
      <c r="ED53" s="26"/>
      <c r="EE53" s="26"/>
      <c r="EF53" s="24"/>
      <c r="EG53" s="24"/>
      <c r="EH53" s="24"/>
      <c r="EJ53" s="24"/>
      <c r="ES53" s="24"/>
      <c r="ET53" s="24"/>
      <c r="EU53" s="26"/>
      <c r="EX53" s="27"/>
      <c r="EY53" t="s">
        <v>656</v>
      </c>
      <c r="EZ53" s="13" t="s">
        <v>139</v>
      </c>
      <c r="FA53" s="13" t="s">
        <v>691</v>
      </c>
      <c r="FB53" s="7" t="str">
        <f t="shared" si="73"/>
        <v>Mini Classic.Small.Single</v>
      </c>
      <c r="FC53" s="122"/>
      <c r="FD53" t="s">
        <v>657</v>
      </c>
      <c r="FE53" s="13"/>
      <c r="FF53" t="s">
        <v>707</v>
      </c>
      <c r="FG53" s="121" t="s">
        <v>724</v>
      </c>
      <c r="FH53" s="90" t="s">
        <v>821</v>
      </c>
      <c r="FI53" s="66" t="s">
        <v>657</v>
      </c>
      <c r="FJ53" t="str">
        <f t="shared" si="78"/>
        <v>Spurs_Spurs_EFN</v>
      </c>
      <c r="FK53" s="73">
        <v>53</v>
      </c>
      <c r="FQ53" s="14" t="s">
        <v>906</v>
      </c>
      <c r="FR53">
        <f>IF(SUM(FT50:FT51)&gt;0,1,0)</f>
        <v>0</v>
      </c>
      <c r="FT53" s="13">
        <f>IF(COUNTIF(Mounts,"*"&amp;FU53&amp;"*")&gt;0=TRUE,1,0)</f>
        <v>0</v>
      </c>
      <c r="FU53" t="s">
        <v>907</v>
      </c>
      <c r="FV53" s="66"/>
      <c r="FX53" s="13">
        <v>9</v>
      </c>
      <c r="FY53" s="80" t="s">
        <v>196</v>
      </c>
    </row>
    <row r="54" spans="1:181" x14ac:dyDescent="0.3">
      <c r="A54" s="11"/>
      <c r="B54" s="11"/>
      <c r="C54" s="130"/>
      <c r="D54" s="130"/>
      <c r="E54" s="130"/>
      <c r="F54" s="8"/>
      <c r="G54" s="75"/>
      <c r="H54" s="130"/>
      <c r="M54" s="75"/>
      <c r="T54" s="173"/>
      <c r="V54" s="2"/>
      <c r="Y54" s="13"/>
      <c r="Z54" s="13" t="s">
        <v>53</v>
      </c>
      <c r="AA54" t="s">
        <v>908</v>
      </c>
      <c r="AB54" t="s">
        <v>909</v>
      </c>
      <c r="AC54" t="s">
        <v>910</v>
      </c>
      <c r="AD54" t="s">
        <v>911</v>
      </c>
      <c r="AE54" t="s">
        <v>912</v>
      </c>
      <c r="AG54" s="56" t="s">
        <v>511</v>
      </c>
      <c r="AH54" s="66" t="s">
        <v>377</v>
      </c>
      <c r="AI54" s="26" t="s">
        <v>154</v>
      </c>
      <c r="AJ54" s="104" t="s">
        <v>268</v>
      </c>
      <c r="AK54" s="105" t="s">
        <v>617</v>
      </c>
      <c r="AL54" s="6"/>
      <c r="AM54" s="6"/>
      <c r="AN54" s="6"/>
      <c r="AO54" s="6"/>
      <c r="AP54" s="6"/>
      <c r="AQ54" s="6"/>
      <c r="AR54" s="6"/>
      <c r="AT54" s="90" t="s">
        <v>913</v>
      </c>
      <c r="AU54" s="15">
        <f t="shared" si="87"/>
        <v>121</v>
      </c>
      <c r="AV54" s="15">
        <f t="shared" si="87"/>
        <v>121</v>
      </c>
      <c r="AW54" s="15">
        <f t="shared" si="87"/>
        <v>121</v>
      </c>
      <c r="AX54" s="15">
        <f t="shared" si="87"/>
        <v>0</v>
      </c>
      <c r="AY54" s="15">
        <f t="shared" si="87"/>
        <v>0</v>
      </c>
      <c r="AZ54" s="15">
        <f t="shared" si="87"/>
        <v>404</v>
      </c>
      <c r="BA54" s="15">
        <f t="shared" si="87"/>
        <v>0</v>
      </c>
      <c r="BB54" s="15">
        <f t="shared" si="87"/>
        <v>0</v>
      </c>
      <c r="BC54" s="15">
        <f t="shared" si="87"/>
        <v>0</v>
      </c>
      <c r="BD54" s="15">
        <f t="shared" si="87"/>
        <v>0</v>
      </c>
      <c r="BE54" s="15">
        <f t="shared" si="87"/>
        <v>0</v>
      </c>
      <c r="BF54" s="15">
        <f t="shared" si="87"/>
        <v>0</v>
      </c>
      <c r="BG54" s="6"/>
      <c r="BH54" s="56"/>
      <c r="BI54" s="1" t="s">
        <v>648</v>
      </c>
      <c r="BM54" s="15"/>
      <c r="BN54" s="11"/>
      <c r="BO54" s="11"/>
      <c r="BP54" s="4" t="s">
        <v>772</v>
      </c>
      <c r="BQ54" s="4"/>
      <c r="BR54" s="6" t="str">
        <f t="shared" si="75"/>
        <v>Classic Maple 12x13 Tom Tom</v>
      </c>
      <c r="BS54" s="4" t="s">
        <v>772</v>
      </c>
      <c r="BT54" s="71"/>
      <c r="BV54" s="6" t="str">
        <f t="shared" si="83"/>
        <v>Legacy Maple 12x13 Tom Tom</v>
      </c>
      <c r="BW54" s="4" t="s">
        <v>772</v>
      </c>
      <c r="BX54" s="67"/>
      <c r="BY54" s="4"/>
      <c r="BZ54" s="6" t="str">
        <f t="shared" si="84"/>
        <v>Legacy Mahogany 12x13 Tom Tom</v>
      </c>
      <c r="CA54" s="4" t="s">
        <v>772</v>
      </c>
      <c r="CB54" s="67"/>
      <c r="CC54" s="4"/>
      <c r="CD54" s="6" t="str">
        <f t="shared" si="85"/>
        <v>Legacy Exotic 12x13 Tom Tom</v>
      </c>
      <c r="CE54" s="4" t="s">
        <v>772</v>
      </c>
      <c r="CF54" s="70"/>
      <c r="CG54" s="23" t="s">
        <v>865</v>
      </c>
      <c r="CH54" s="4" t="s">
        <v>772</v>
      </c>
      <c r="CI54" s="70"/>
      <c r="CJ54" s="4"/>
      <c r="CK54" s="90"/>
      <c r="CL54" s="157"/>
      <c r="CM54" s="157"/>
      <c r="CN54" s="157"/>
      <c r="CO54" s="157"/>
      <c r="CP54" s="157"/>
      <c r="CQ54" s="157"/>
      <c r="CR54" s="158"/>
      <c r="CS54" s="157"/>
      <c r="CT54" s="157"/>
      <c r="CU54" s="4">
        <f t="shared" si="76"/>
        <v>0</v>
      </c>
      <c r="CV54" s="93" t="s">
        <v>914</v>
      </c>
      <c r="CW54" s="93" t="s">
        <v>915</v>
      </c>
      <c r="CX54" s="93" t="s">
        <v>916</v>
      </c>
      <c r="CY54" s="93" t="s">
        <v>917</v>
      </c>
      <c r="CZ54" s="93" t="s">
        <v>918</v>
      </c>
      <c r="DA54" s="70"/>
      <c r="DB54" s="13" t="s">
        <v>54</v>
      </c>
      <c r="DC54" s="16" t="str">
        <f t="shared" si="2"/>
        <v>Tom.7x8 Tom Tom</v>
      </c>
      <c r="DD54" s="4" t="s">
        <v>777</v>
      </c>
      <c r="DE54" s="69" t="str">
        <f t="shared" si="68"/>
        <v>ML</v>
      </c>
      <c r="DF54" s="13" t="s">
        <v>78</v>
      </c>
      <c r="DG54" s="13"/>
      <c r="DH54" s="13"/>
      <c r="DI54" s="13"/>
      <c r="DK54" s="13"/>
      <c r="DL54" s="13"/>
      <c r="DM54" s="13"/>
      <c r="DN54" s="81" t="s">
        <v>733</v>
      </c>
      <c r="DR54" s="31"/>
      <c r="DT54" s="55" t="s">
        <v>439</v>
      </c>
      <c r="DU54" s="4" t="s">
        <v>893</v>
      </c>
      <c r="DV54" s="4"/>
      <c r="EB54" s="13"/>
      <c r="EC54" s="16"/>
      <c r="ED54" s="26"/>
      <c r="EE54" s="26"/>
      <c r="EF54" s="24"/>
      <c r="EI54" s="24"/>
      <c r="EJ54" s="18"/>
      <c r="ES54" s="24"/>
      <c r="ET54" s="24"/>
      <c r="EU54" s="26"/>
      <c r="EX54" s="27"/>
      <c r="EY54" t="s">
        <v>674</v>
      </c>
      <c r="EZ54" s="13" t="s">
        <v>139</v>
      </c>
      <c r="FA54" s="13" t="s">
        <v>691</v>
      </c>
      <c r="FB54" s="7" t="str">
        <f t="shared" si="73"/>
        <v>Large Classic.Small.Single</v>
      </c>
      <c r="FC54" s="122"/>
      <c r="FD54" t="s">
        <v>657</v>
      </c>
      <c r="FE54" s="13"/>
      <c r="FF54" t="s">
        <v>707</v>
      </c>
      <c r="FG54" s="121" t="s">
        <v>724</v>
      </c>
      <c r="FH54" s="90" t="s">
        <v>821</v>
      </c>
      <c r="FI54" s="66" t="s">
        <v>657</v>
      </c>
      <c r="FJ54" t="str">
        <f t="shared" si="78"/>
        <v>Spurs_Spurs_EFN</v>
      </c>
      <c r="FQ54" s="14" t="s">
        <v>919</v>
      </c>
      <c r="FR54">
        <f>IF(SUM(FT53:FT54)&gt;0,1,0)</f>
        <v>0</v>
      </c>
      <c r="FT54" s="13">
        <f>IF(COUNTIF(Mounts,"*"&amp;FU54&amp;"*")&gt;0=TRUE,1,0)</f>
        <v>0</v>
      </c>
      <c r="FU54" t="s">
        <v>920</v>
      </c>
      <c r="FV54" s="66"/>
      <c r="FX54" s="13">
        <v>9</v>
      </c>
      <c r="FY54" s="80" t="s">
        <v>226</v>
      </c>
    </row>
    <row r="55" spans="1:181" x14ac:dyDescent="0.3">
      <c r="A55" s="11"/>
      <c r="E55" s="8"/>
      <c r="F55" s="8"/>
      <c r="G55" s="200"/>
      <c r="H55" s="130"/>
      <c r="T55" s="173"/>
      <c r="Y55" s="13"/>
      <c r="Z55" s="13" t="s">
        <v>55</v>
      </c>
      <c r="AA55" t="s">
        <v>921</v>
      </c>
      <c r="AB55" t="s">
        <v>922</v>
      </c>
      <c r="AC55" t="s">
        <v>923</v>
      </c>
      <c r="AD55" t="s">
        <v>924</v>
      </c>
      <c r="AE55" t="s">
        <v>925</v>
      </c>
      <c r="AG55" s="56" t="s">
        <v>531</v>
      </c>
      <c r="AH55" s="66" t="s">
        <v>377</v>
      </c>
      <c r="AI55" s="26" t="s">
        <v>154</v>
      </c>
      <c r="AJ55" s="104" t="s">
        <v>268</v>
      </c>
      <c r="AK55" s="105" t="s">
        <v>617</v>
      </c>
      <c r="AL55" s="6"/>
      <c r="AM55" s="6"/>
      <c r="AN55" s="6"/>
      <c r="AO55" s="6"/>
      <c r="AP55" s="6"/>
      <c r="AQ55" s="6"/>
      <c r="AR55" s="6"/>
      <c r="AT55" s="90" t="s">
        <v>926</v>
      </c>
      <c r="AU55" s="15">
        <f t="shared" si="87"/>
        <v>121</v>
      </c>
      <c r="AV55" s="15">
        <f t="shared" si="87"/>
        <v>121</v>
      </c>
      <c r="AW55" s="15">
        <f t="shared" si="87"/>
        <v>121</v>
      </c>
      <c r="AX55" s="15">
        <f t="shared" si="87"/>
        <v>0</v>
      </c>
      <c r="AY55" s="15">
        <f t="shared" si="87"/>
        <v>0</v>
      </c>
      <c r="AZ55" s="15">
        <f t="shared" si="87"/>
        <v>404</v>
      </c>
      <c r="BA55" s="15">
        <f t="shared" si="87"/>
        <v>0</v>
      </c>
      <c r="BB55" s="15">
        <f t="shared" si="87"/>
        <v>0</v>
      </c>
      <c r="BC55" s="15">
        <f t="shared" si="87"/>
        <v>0</v>
      </c>
      <c r="BD55" s="15">
        <f t="shared" si="87"/>
        <v>0</v>
      </c>
      <c r="BE55" s="15">
        <f t="shared" si="87"/>
        <v>0</v>
      </c>
      <c r="BF55" s="15">
        <f t="shared" si="87"/>
        <v>0</v>
      </c>
      <c r="BG55" s="6"/>
      <c r="BH55" s="6"/>
      <c r="BI55" s="1"/>
      <c r="BM55" s="15"/>
      <c r="BN55" s="11"/>
      <c r="BO55" s="11"/>
      <c r="BP55" s="4" t="s">
        <v>927</v>
      </c>
      <c r="BQ55" s="4"/>
      <c r="BR55" s="6" t="str">
        <f t="shared" si="75"/>
        <v>Classic Maple 9x14 Tom Tom</v>
      </c>
      <c r="BS55" s="4" t="s">
        <v>927</v>
      </c>
      <c r="BT55" s="71"/>
      <c r="BV55" s="6" t="str">
        <f t="shared" si="83"/>
        <v>Legacy Maple 9x14 Tom Tom</v>
      </c>
      <c r="BW55" s="4" t="s">
        <v>927</v>
      </c>
      <c r="BX55" s="67"/>
      <c r="BY55" s="4"/>
      <c r="BZ55" s="6" t="str">
        <f t="shared" si="84"/>
        <v>Legacy Mahogany 9x14 Tom Tom</v>
      </c>
      <c r="CA55" s="4" t="s">
        <v>927</v>
      </c>
      <c r="CB55" s="67"/>
      <c r="CC55" s="4"/>
      <c r="CD55" s="6" t="str">
        <f t="shared" si="85"/>
        <v>Legacy Exotic 9x14 Tom Tom</v>
      </c>
      <c r="CE55" s="4" t="s">
        <v>927</v>
      </c>
      <c r="CF55" s="70"/>
      <c r="CG55" s="23" t="s">
        <v>874</v>
      </c>
      <c r="CH55" s="4" t="s">
        <v>927</v>
      </c>
      <c r="CI55" s="70"/>
      <c r="CJ55" s="4"/>
      <c r="CK55" s="90"/>
      <c r="CL55" s="157"/>
      <c r="CM55" s="157"/>
      <c r="CN55" s="157"/>
      <c r="CO55" s="157"/>
      <c r="CP55" s="157"/>
      <c r="CQ55" s="157"/>
      <c r="CT55" s="157"/>
      <c r="CU55" s="4">
        <f t="shared" si="76"/>
        <v>0</v>
      </c>
      <c r="CV55" s="93" t="s">
        <v>928</v>
      </c>
      <c r="CW55" s="93" t="s">
        <v>929</v>
      </c>
      <c r="CX55" s="93" t="s">
        <v>930</v>
      </c>
      <c r="CY55" s="93" t="s">
        <v>931</v>
      </c>
      <c r="CZ55" s="93" t="s">
        <v>932</v>
      </c>
      <c r="DA55" s="70"/>
      <c r="DB55" s="13" t="s">
        <v>54</v>
      </c>
      <c r="DC55" s="16" t="str">
        <f t="shared" si="2"/>
        <v>Tom.8x10 Tom Tom</v>
      </c>
      <c r="DD55" s="4" t="s">
        <v>814</v>
      </c>
      <c r="DE55" s="69" t="str">
        <f t="shared" si="68"/>
        <v>MLLCLL</v>
      </c>
      <c r="DF55" s="13" t="s">
        <v>78</v>
      </c>
      <c r="DG55" s="13" t="s">
        <v>79</v>
      </c>
      <c r="DH55" s="13" t="s">
        <v>69</v>
      </c>
      <c r="DI55" s="13"/>
      <c r="DK55" s="13"/>
      <c r="DL55" s="13"/>
      <c r="DM55" s="13"/>
      <c r="DN55" s="81" t="s">
        <v>733</v>
      </c>
      <c r="EC55" s="16"/>
      <c r="ED55" s="26"/>
      <c r="EE55" s="26"/>
      <c r="EF55" s="24"/>
      <c r="EG55" s="24"/>
      <c r="EH55" s="24"/>
      <c r="ES55" s="24"/>
      <c r="ET55" s="24"/>
      <c r="EU55" s="26"/>
      <c r="EX55" s="27"/>
      <c r="EY55" t="s">
        <v>689</v>
      </c>
      <c r="EZ55" s="13" t="s">
        <v>139</v>
      </c>
      <c r="FA55" s="13" t="s">
        <v>691</v>
      </c>
      <c r="FB55" s="7" t="str">
        <f t="shared" si="73"/>
        <v>Mach Lugs.Small.Single</v>
      </c>
      <c r="FC55" s="122"/>
      <c r="FD55" t="s">
        <v>657</v>
      </c>
      <c r="FE55" s="13"/>
      <c r="FF55" t="s">
        <v>707</v>
      </c>
      <c r="FG55" s="121" t="s">
        <v>724</v>
      </c>
      <c r="FH55" s="90" t="s">
        <v>821</v>
      </c>
      <c r="FI55" s="66" t="s">
        <v>657</v>
      </c>
      <c r="FJ55" t="str">
        <f t="shared" si="78"/>
        <v>Spurs_Spurs_EFN</v>
      </c>
      <c r="FR55" s="12"/>
      <c r="FY55" s="13"/>
    </row>
    <row r="56" spans="1:181" x14ac:dyDescent="0.3">
      <c r="A56" s="11"/>
      <c r="E56" s="130"/>
      <c r="F56" s="8"/>
      <c r="G56" s="200"/>
      <c r="H56" s="130"/>
      <c r="T56" s="173"/>
      <c r="V56" s="14"/>
      <c r="AG56" s="56" t="s">
        <v>553</v>
      </c>
      <c r="AH56" s="66" t="s">
        <v>377</v>
      </c>
      <c r="AI56" s="26" t="s">
        <v>154</v>
      </c>
      <c r="AJ56" s="104" t="s">
        <v>269</v>
      </c>
      <c r="AK56" s="105" t="s">
        <v>617</v>
      </c>
      <c r="AL56" s="6"/>
      <c r="AM56" s="6"/>
      <c r="AN56" s="6"/>
      <c r="AO56" s="6"/>
      <c r="AP56" s="6"/>
      <c r="AQ56" s="6"/>
      <c r="AR56" s="6"/>
      <c r="AT56" s="90" t="s">
        <v>933</v>
      </c>
      <c r="AU56" s="15">
        <f t="shared" si="87"/>
        <v>121</v>
      </c>
      <c r="AV56" s="15">
        <f t="shared" si="87"/>
        <v>121</v>
      </c>
      <c r="AW56" s="15">
        <f t="shared" si="87"/>
        <v>121</v>
      </c>
      <c r="AX56" s="15">
        <f t="shared" si="87"/>
        <v>0</v>
      </c>
      <c r="AY56" s="15">
        <f t="shared" si="87"/>
        <v>0</v>
      </c>
      <c r="AZ56" s="15">
        <f t="shared" si="87"/>
        <v>404</v>
      </c>
      <c r="BA56" s="15">
        <f t="shared" si="87"/>
        <v>0</v>
      </c>
      <c r="BB56" s="15">
        <f t="shared" si="87"/>
        <v>0</v>
      </c>
      <c r="BC56" s="15">
        <f t="shared" si="87"/>
        <v>0</v>
      </c>
      <c r="BD56" s="15">
        <f t="shared" si="87"/>
        <v>0</v>
      </c>
      <c r="BE56" s="15">
        <f t="shared" si="87"/>
        <v>0</v>
      </c>
      <c r="BF56" s="15">
        <f t="shared" si="87"/>
        <v>0</v>
      </c>
      <c r="BG56" s="6"/>
      <c r="BH56" s="6"/>
      <c r="BN56" s="11"/>
      <c r="BO56" s="11"/>
      <c r="BP56" s="4" t="s">
        <v>745</v>
      </c>
      <c r="BQ56" s="4"/>
      <c r="BR56" s="6" t="str">
        <f t="shared" si="75"/>
        <v>Classic Maple 10x14 Tom Tom</v>
      </c>
      <c r="BS56" s="4" t="s">
        <v>745</v>
      </c>
      <c r="BT56" s="71"/>
      <c r="BV56" s="6" t="str">
        <f t="shared" si="83"/>
        <v>Legacy Maple 10x14 Tom Tom</v>
      </c>
      <c r="BW56" s="4" t="s">
        <v>745</v>
      </c>
      <c r="BX56" s="67"/>
      <c r="BY56" s="4"/>
      <c r="BZ56" s="6" t="str">
        <f t="shared" si="84"/>
        <v>Legacy Mahogany 10x14 Tom Tom</v>
      </c>
      <c r="CA56" s="4" t="s">
        <v>745</v>
      </c>
      <c r="CB56" s="67"/>
      <c r="CC56" s="4"/>
      <c r="CD56" s="6" t="str">
        <f t="shared" si="85"/>
        <v>Legacy Exotic 10x14 Tom Tom</v>
      </c>
      <c r="CE56" s="4" t="s">
        <v>745</v>
      </c>
      <c r="CF56" s="70"/>
      <c r="CG56" s="23" t="s">
        <v>887</v>
      </c>
      <c r="CH56" s="4" t="s">
        <v>745</v>
      </c>
      <c r="CI56" s="70"/>
      <c r="CJ56" s="4"/>
      <c r="CK56" s="90"/>
      <c r="CL56" s="157"/>
      <c r="CM56" s="157"/>
      <c r="CN56" s="157"/>
      <c r="CO56" s="157"/>
      <c r="CP56" s="157"/>
      <c r="CQ56" s="157"/>
      <c r="CT56" s="157"/>
      <c r="CU56" s="4">
        <f t="shared" si="76"/>
        <v>0</v>
      </c>
      <c r="CV56" s="93" t="s">
        <v>934</v>
      </c>
      <c r="CW56" s="93" t="s">
        <v>935</v>
      </c>
      <c r="CX56" s="93" t="s">
        <v>936</v>
      </c>
      <c r="CY56" s="93" t="s">
        <v>937</v>
      </c>
      <c r="CZ56" s="93" t="s">
        <v>938</v>
      </c>
      <c r="DA56" s="70"/>
      <c r="DB56" s="13" t="s">
        <v>54</v>
      </c>
      <c r="DC56" s="16" t="str">
        <f t="shared" si="2"/>
        <v>Tom.8x12 Tom Tom</v>
      </c>
      <c r="DD56" s="4" t="s">
        <v>838</v>
      </c>
      <c r="DE56" s="69" t="str">
        <f t="shared" si="68"/>
        <v>MLLCLLSIST</v>
      </c>
      <c r="DF56" s="13" t="s">
        <v>78</v>
      </c>
      <c r="DG56" s="13" t="s">
        <v>79</v>
      </c>
      <c r="DH56" s="13" t="s">
        <v>69</v>
      </c>
      <c r="DI56" s="13"/>
      <c r="DK56" s="13" t="s">
        <v>82</v>
      </c>
      <c r="DL56" s="13" t="s">
        <v>83</v>
      </c>
      <c r="DM56" s="13"/>
      <c r="DN56" s="81" t="s">
        <v>733</v>
      </c>
      <c r="EC56" s="16"/>
      <c r="ED56" s="26"/>
      <c r="EE56" s="26"/>
      <c r="EF56" s="24"/>
      <c r="EG56" s="24"/>
      <c r="EH56" s="24"/>
      <c r="EJ56" s="24"/>
      <c r="ES56" s="24"/>
      <c r="ET56" s="24"/>
      <c r="EU56" s="26"/>
      <c r="EX56" s="27"/>
      <c r="EY56" t="s">
        <v>706</v>
      </c>
      <c r="EZ56" s="13" t="s">
        <v>139</v>
      </c>
      <c r="FA56" s="13" t="s">
        <v>691</v>
      </c>
      <c r="FB56" s="7" t="str">
        <f t="shared" si="73"/>
        <v>Large Twin.Small.Single</v>
      </c>
      <c r="FC56" s="122"/>
      <c r="FD56" s="13"/>
      <c r="FE56" s="13"/>
      <c r="FF56" t="s">
        <v>707</v>
      </c>
      <c r="FG56" s="121" t="s">
        <v>724</v>
      </c>
      <c r="FH56" s="90" t="s">
        <v>782</v>
      </c>
      <c r="FI56" s="66" t="s">
        <v>707</v>
      </c>
      <c r="FJ56" t="str">
        <f t="shared" si="78"/>
        <v>Spurs_Spurs_FN</v>
      </c>
      <c r="FQ56" s="14" t="s">
        <v>939</v>
      </c>
      <c r="FR56">
        <f>IF(SUM(FT57:FT59)&gt;0,1,0)</f>
        <v>0</v>
      </c>
      <c r="FU56" t="s">
        <v>420</v>
      </c>
      <c r="FX56" s="13" t="s">
        <v>89</v>
      </c>
      <c r="FY56" s="66" t="s">
        <v>87</v>
      </c>
    </row>
    <row r="57" spans="1:181" ht="15" thickBot="1" x14ac:dyDescent="0.35">
      <c r="A57" s="11"/>
      <c r="B57" s="76"/>
      <c r="D57" s="76"/>
      <c r="E57" s="8"/>
      <c r="F57" s="8"/>
      <c r="G57" s="200"/>
      <c r="H57" s="130"/>
      <c r="T57" s="173"/>
      <c r="V57" s="14"/>
      <c r="AG57" s="56" t="s">
        <v>131</v>
      </c>
      <c r="AH57" s="66" t="s">
        <v>940</v>
      </c>
      <c r="AI57" s="26" t="s">
        <v>154</v>
      </c>
      <c r="AJ57" s="104" t="s">
        <v>266</v>
      </c>
      <c r="AK57" s="105" t="s">
        <v>617</v>
      </c>
      <c r="AL57" s="6"/>
      <c r="AM57" s="6"/>
      <c r="AN57" s="6"/>
      <c r="AO57" s="6"/>
      <c r="AP57" s="6"/>
      <c r="AQ57" s="6"/>
      <c r="AR57" s="6"/>
      <c r="AT57" s="90" t="s">
        <v>941</v>
      </c>
      <c r="AU57" s="15">
        <f t="shared" si="87"/>
        <v>121</v>
      </c>
      <c r="AV57" s="15">
        <f t="shared" si="87"/>
        <v>121</v>
      </c>
      <c r="AW57" s="15">
        <f t="shared" si="87"/>
        <v>121</v>
      </c>
      <c r="AX57" s="15">
        <f t="shared" si="87"/>
        <v>0</v>
      </c>
      <c r="AY57" s="15">
        <f t="shared" si="87"/>
        <v>0</v>
      </c>
      <c r="AZ57" s="15">
        <f t="shared" si="87"/>
        <v>400</v>
      </c>
      <c r="BA57" s="15">
        <f t="shared" si="87"/>
        <v>0</v>
      </c>
      <c r="BB57" s="15">
        <f t="shared" si="87"/>
        <v>0</v>
      </c>
      <c r="BC57" s="15">
        <f t="shared" si="87"/>
        <v>0</v>
      </c>
      <c r="BD57" s="15">
        <f t="shared" si="87"/>
        <v>0</v>
      </c>
      <c r="BE57" s="15">
        <f t="shared" si="87"/>
        <v>0</v>
      </c>
      <c r="BF57" s="15">
        <f t="shared" si="87"/>
        <v>0</v>
      </c>
      <c r="BG57" s="6"/>
      <c r="BH57" s="6"/>
      <c r="BM57" s="15"/>
      <c r="BN57" s="11"/>
      <c r="BO57" s="11"/>
      <c r="BP57" s="4" t="s">
        <v>766</v>
      </c>
      <c r="BQ57" s="4"/>
      <c r="BR57" s="6" t="str">
        <f t="shared" si="75"/>
        <v>Classic Maple 11x14 Tom Tom</v>
      </c>
      <c r="BS57" s="4" t="s">
        <v>766</v>
      </c>
      <c r="BT57" s="71"/>
      <c r="BV57" s="6" t="str">
        <f t="shared" si="83"/>
        <v>Legacy Maple 11x14 Tom Tom</v>
      </c>
      <c r="BW57" s="4" t="s">
        <v>766</v>
      </c>
      <c r="BX57" s="67"/>
      <c r="BY57" s="4"/>
      <c r="BZ57" s="6" t="str">
        <f t="shared" si="84"/>
        <v>Legacy Mahogany 11x14 Tom Tom</v>
      </c>
      <c r="CA57" s="4" t="s">
        <v>766</v>
      </c>
      <c r="CB57" s="67"/>
      <c r="CC57" s="4"/>
      <c r="CD57" s="6" t="str">
        <f t="shared" si="85"/>
        <v>Legacy Exotic 11x14 Tom Tom</v>
      </c>
      <c r="CE57" s="4" t="s">
        <v>766</v>
      </c>
      <c r="CF57" s="70"/>
      <c r="CG57" s="23" t="s">
        <v>900</v>
      </c>
      <c r="CH57" s="4" t="s">
        <v>766</v>
      </c>
      <c r="CI57" s="70"/>
      <c r="CJ57" s="4"/>
      <c r="CK57" s="90"/>
      <c r="CL57" s="157"/>
      <c r="CM57" s="157"/>
      <c r="CN57" s="157"/>
      <c r="CO57" s="157"/>
      <c r="CP57" s="157"/>
      <c r="CQ57" s="157"/>
      <c r="CT57" s="157"/>
      <c r="CU57" s="4">
        <f t="shared" si="76"/>
        <v>0</v>
      </c>
      <c r="CV57" s="93" t="s">
        <v>942</v>
      </c>
      <c r="CW57" s="93" t="s">
        <v>943</v>
      </c>
      <c r="CX57" s="93" t="s">
        <v>944</v>
      </c>
      <c r="CY57" s="93" t="s">
        <v>945</v>
      </c>
      <c r="CZ57" s="93" t="s">
        <v>946</v>
      </c>
      <c r="DA57" s="70"/>
      <c r="DB57" s="13" t="s">
        <v>54</v>
      </c>
      <c r="DC57" s="16" t="str">
        <f t="shared" si="2"/>
        <v>Tom.8x6 Tom Tom</v>
      </c>
      <c r="DD57" s="4" t="s">
        <v>770</v>
      </c>
      <c r="DE57" s="69" t="str">
        <f t="shared" si="68"/>
        <v>MLLCLL</v>
      </c>
      <c r="DF57" s="13" t="s">
        <v>78</v>
      </c>
      <c r="DG57" s="13" t="s">
        <v>79</v>
      </c>
      <c r="DH57" s="13" t="s">
        <v>69</v>
      </c>
      <c r="DI57" s="13"/>
      <c r="DK57" s="13"/>
      <c r="DL57" s="13"/>
      <c r="DM57" s="13"/>
      <c r="DN57" s="81" t="s">
        <v>788</v>
      </c>
      <c r="EC57" s="16"/>
      <c r="ED57" s="26"/>
      <c r="EE57" s="26"/>
      <c r="EF57" s="24"/>
      <c r="EG57" s="24"/>
      <c r="EH57" s="24"/>
      <c r="EJ57" s="24"/>
      <c r="ES57" s="24"/>
      <c r="ET57" s="24"/>
      <c r="EU57" s="26"/>
      <c r="EX57" s="27"/>
      <c r="EY57" t="s">
        <v>723</v>
      </c>
      <c r="EZ57" s="13" t="s">
        <v>139</v>
      </c>
      <c r="FA57" s="13" t="s">
        <v>691</v>
      </c>
      <c r="FB57" s="7" t="str">
        <f t="shared" si="73"/>
        <v>Large Imperial.Small.Single</v>
      </c>
      <c r="FC57" s="210"/>
      <c r="FD57" s="100"/>
      <c r="FE57" s="100"/>
      <c r="FF57" s="101" t="s">
        <v>707</v>
      </c>
      <c r="FG57" s="123" t="s">
        <v>724</v>
      </c>
      <c r="FH57" s="90" t="s">
        <v>782</v>
      </c>
      <c r="FI57" s="66" t="s">
        <v>707</v>
      </c>
      <c r="FJ57" t="str">
        <f t="shared" si="78"/>
        <v>Spurs_Spurs_FN</v>
      </c>
      <c r="FQ57" s="14" t="s">
        <v>947</v>
      </c>
      <c r="FR57">
        <f>IF(SUM(FT61:FT62)&gt;0,1,0)</f>
        <v>0</v>
      </c>
      <c r="FT57" s="13">
        <f>IF(COUNTIF(Mounts,"*"&amp;FU57&amp;"*")&gt;0=TRUE,1,0)</f>
        <v>0</v>
      </c>
      <c r="FU57" t="s">
        <v>486</v>
      </c>
      <c r="FX57">
        <v>12</v>
      </c>
      <c r="FY57" s="13" t="s">
        <v>487</v>
      </c>
    </row>
    <row r="58" spans="1:181" x14ac:dyDescent="0.3">
      <c r="A58" s="11"/>
      <c r="B58" s="173"/>
      <c r="C58" s="173"/>
      <c r="D58" s="173"/>
      <c r="H58" s="130"/>
      <c r="V58" s="14"/>
      <c r="Z58" s="13" t="s">
        <v>948</v>
      </c>
      <c r="AA58" t="s">
        <v>52</v>
      </c>
      <c r="AB58" t="s">
        <v>53</v>
      </c>
      <c r="AC58" t="s">
        <v>54</v>
      </c>
      <c r="AD58" t="s">
        <v>55</v>
      </c>
      <c r="AG58" s="56" t="s">
        <v>184</v>
      </c>
      <c r="AH58" s="66" t="s">
        <v>940</v>
      </c>
      <c r="AI58" s="26" t="s">
        <v>154</v>
      </c>
      <c r="AJ58" s="104" t="s">
        <v>266</v>
      </c>
      <c r="AK58" s="105" t="s">
        <v>617</v>
      </c>
      <c r="AL58" s="6"/>
      <c r="AM58" s="6"/>
      <c r="AN58" s="6"/>
      <c r="AO58" s="6"/>
      <c r="AP58" s="6"/>
      <c r="AQ58" s="6"/>
      <c r="AR58" s="6"/>
      <c r="AT58" s="90" t="s">
        <v>949</v>
      </c>
      <c r="AU58" s="15">
        <f t="shared" si="87"/>
        <v>121</v>
      </c>
      <c r="AV58" s="15">
        <f t="shared" si="87"/>
        <v>121</v>
      </c>
      <c r="AW58" s="15">
        <f t="shared" si="87"/>
        <v>121</v>
      </c>
      <c r="AX58" s="15">
        <f t="shared" si="87"/>
        <v>0</v>
      </c>
      <c r="AY58" s="15">
        <f t="shared" si="87"/>
        <v>0</v>
      </c>
      <c r="AZ58" s="15">
        <f t="shared" si="87"/>
        <v>400</v>
      </c>
      <c r="BA58" s="15">
        <f t="shared" si="87"/>
        <v>0</v>
      </c>
      <c r="BB58" s="15">
        <f t="shared" si="87"/>
        <v>0</v>
      </c>
      <c r="BC58" s="15">
        <f t="shared" si="87"/>
        <v>0</v>
      </c>
      <c r="BD58" s="15">
        <f t="shared" si="87"/>
        <v>0</v>
      </c>
      <c r="BE58" s="15">
        <f t="shared" si="87"/>
        <v>0</v>
      </c>
      <c r="BF58" s="15">
        <f t="shared" si="87"/>
        <v>0</v>
      </c>
      <c r="BG58" s="6"/>
      <c r="BH58" s="6"/>
      <c r="BI58" s="1"/>
      <c r="BM58" s="15"/>
      <c r="BN58" s="11"/>
      <c r="BO58" s="11"/>
      <c r="BP58" s="4" t="s">
        <v>780</v>
      </c>
      <c r="BQ58" s="4"/>
      <c r="BR58" s="6" t="str">
        <f t="shared" si="75"/>
        <v>Classic Maple 12x14 Tom Tom</v>
      </c>
      <c r="BS58" s="4" t="s">
        <v>780</v>
      </c>
      <c r="BT58" s="71"/>
      <c r="BV58" s="6" t="str">
        <f t="shared" si="83"/>
        <v>Legacy Maple 12x14 Tom Tom</v>
      </c>
      <c r="BW58" s="4" t="s">
        <v>780</v>
      </c>
      <c r="BX58" s="67"/>
      <c r="BY58" s="4"/>
      <c r="BZ58" s="6" t="str">
        <f t="shared" si="84"/>
        <v>Legacy Mahogany 12x14 Tom Tom</v>
      </c>
      <c r="CA58" s="4" t="s">
        <v>780</v>
      </c>
      <c r="CB58" s="67"/>
      <c r="CC58" s="4"/>
      <c r="CD58" s="6" t="str">
        <f t="shared" si="85"/>
        <v>Legacy Exotic 12x14 Tom Tom</v>
      </c>
      <c r="CE58" s="4" t="s">
        <v>780</v>
      </c>
      <c r="CF58" s="70"/>
      <c r="CG58" s="23" t="s">
        <v>913</v>
      </c>
      <c r="CH58" s="4" t="s">
        <v>780</v>
      </c>
      <c r="CI58" s="70"/>
      <c r="CJ58" s="4"/>
      <c r="CK58" s="90"/>
      <c r="CL58" s="157"/>
      <c r="CM58" s="157"/>
      <c r="CN58" s="157"/>
      <c r="CO58" s="157"/>
      <c r="CP58" s="157"/>
      <c r="CQ58" s="157"/>
      <c r="CT58" s="157"/>
      <c r="CU58" s="4">
        <f t="shared" si="76"/>
        <v>0</v>
      </c>
      <c r="CV58" s="93" t="s">
        <v>950</v>
      </c>
      <c r="CW58" s="93" t="s">
        <v>951</v>
      </c>
      <c r="CX58" s="93" t="s">
        <v>952</v>
      </c>
      <c r="CY58" s="93" t="s">
        <v>953</v>
      </c>
      <c r="CZ58" s="93" t="s">
        <v>954</v>
      </c>
      <c r="DA58" s="70"/>
      <c r="DB58" s="13" t="s">
        <v>54</v>
      </c>
      <c r="DC58" s="16" t="str">
        <f t="shared" si="2"/>
        <v>Tom.8x8 Tom Tom</v>
      </c>
      <c r="DD58" s="4" t="s">
        <v>784</v>
      </c>
      <c r="DE58" s="69" t="str">
        <f t="shared" si="68"/>
        <v>MLLCLL</v>
      </c>
      <c r="DF58" s="13" t="s">
        <v>78</v>
      </c>
      <c r="DG58" s="13" t="s">
        <v>79</v>
      </c>
      <c r="DH58" s="13" t="s">
        <v>69</v>
      </c>
      <c r="DI58" s="13"/>
      <c r="DK58" s="13"/>
      <c r="DL58" s="13"/>
      <c r="DM58" s="13"/>
      <c r="DN58" s="81" t="s">
        <v>733</v>
      </c>
      <c r="EC58" s="16"/>
      <c r="ED58" s="26"/>
      <c r="EE58" s="26"/>
      <c r="EF58" s="24"/>
      <c r="EG58" s="24"/>
      <c r="EH58" s="24"/>
      <c r="EJ58" s="24"/>
      <c r="ES58" s="24"/>
      <c r="ET58" s="24"/>
      <c r="EU58" s="26"/>
      <c r="EX58" s="27"/>
      <c r="FQ58" s="14" t="s">
        <v>955</v>
      </c>
      <c r="FR58">
        <f>IF(SUM(FT64:FT65)&gt;0,1,0)</f>
        <v>0</v>
      </c>
      <c r="FT58" s="13">
        <f>IF(COUNTIF(Mounts,"*"&amp;FU58&amp;"*")&gt;0=TRUE,1,0)</f>
        <v>0</v>
      </c>
      <c r="FU58" t="s">
        <v>501</v>
      </c>
      <c r="FX58">
        <v>12</v>
      </c>
      <c r="FY58" s="13" t="s">
        <v>502</v>
      </c>
    </row>
    <row r="59" spans="1:181" x14ac:dyDescent="0.3">
      <c r="A59" s="11"/>
      <c r="C59" s="173"/>
      <c r="H59" s="130"/>
      <c r="T59" s="173"/>
      <c r="Z59" t="s">
        <v>645</v>
      </c>
      <c r="AA59" t="str">
        <f>IF($G$26="",$E$26,$G$26)</f>
        <v>Clear PS3</v>
      </c>
      <c r="AB59" t="str">
        <f>IF($G$39="",$E$39,$G$39)</f>
        <v>Clear Emperor</v>
      </c>
      <c r="AC59" t="str">
        <f>IF($G$33="",$E$33,$G$33)</f>
        <v>Clear Emperor</v>
      </c>
      <c r="AD59" t="str">
        <f>IF($G$47="",$E$47,$G$47)</f>
        <v>Heavy Coated</v>
      </c>
      <c r="AG59" s="56" t="s">
        <v>216</v>
      </c>
      <c r="AH59" s="66" t="s">
        <v>940</v>
      </c>
      <c r="AI59" s="26" t="s">
        <v>154</v>
      </c>
      <c r="AJ59" s="104" t="s">
        <v>266</v>
      </c>
      <c r="AK59" s="105" t="s">
        <v>617</v>
      </c>
      <c r="AL59" s="6"/>
      <c r="AM59" s="6"/>
      <c r="AN59" s="6"/>
      <c r="AO59" s="6"/>
      <c r="AP59" s="6"/>
      <c r="AQ59" s="6"/>
      <c r="AR59" s="6"/>
      <c r="AT59" s="90" t="s">
        <v>956</v>
      </c>
      <c r="AU59" s="15">
        <f t="shared" si="87"/>
        <v>121</v>
      </c>
      <c r="AV59" s="15">
        <f t="shared" si="87"/>
        <v>121</v>
      </c>
      <c r="AW59" s="15">
        <f t="shared" si="87"/>
        <v>121</v>
      </c>
      <c r="AX59" s="15">
        <f t="shared" si="87"/>
        <v>0</v>
      </c>
      <c r="AY59" s="15">
        <f t="shared" si="87"/>
        <v>0</v>
      </c>
      <c r="AZ59" s="15">
        <f t="shared" si="87"/>
        <v>400</v>
      </c>
      <c r="BA59" s="15">
        <f t="shared" si="87"/>
        <v>0</v>
      </c>
      <c r="BB59" s="15">
        <f t="shared" si="87"/>
        <v>0</v>
      </c>
      <c r="BC59" s="15">
        <f t="shared" si="87"/>
        <v>0</v>
      </c>
      <c r="BD59" s="15">
        <f t="shared" si="87"/>
        <v>0</v>
      </c>
      <c r="BE59" s="15">
        <f t="shared" si="87"/>
        <v>0</v>
      </c>
      <c r="BF59" s="15">
        <f t="shared" si="87"/>
        <v>0</v>
      </c>
      <c r="BG59" s="6"/>
      <c r="BH59" s="6"/>
      <c r="BN59" s="11"/>
      <c r="BO59" s="11"/>
      <c r="BP59" s="4" t="s">
        <v>798</v>
      </c>
      <c r="BQ59" s="4"/>
      <c r="BR59" s="6" t="str">
        <f t="shared" si="75"/>
        <v>Classic Maple 13x14 Tom Tom</v>
      </c>
      <c r="BS59" s="4" t="s">
        <v>798</v>
      </c>
      <c r="BT59" s="71"/>
      <c r="BV59" s="6" t="str">
        <f t="shared" si="83"/>
        <v>Legacy Maple 13x14 Tom Tom</v>
      </c>
      <c r="BW59" s="4" t="s">
        <v>798</v>
      </c>
      <c r="BX59" s="67"/>
      <c r="BY59" s="4"/>
      <c r="BZ59" s="6" t="str">
        <f t="shared" si="84"/>
        <v>Legacy Mahogany 13x14 Tom Tom</v>
      </c>
      <c r="CA59" s="4" t="s">
        <v>798</v>
      </c>
      <c r="CB59" s="67"/>
      <c r="CC59" s="4"/>
      <c r="CD59" s="6" t="str">
        <f t="shared" si="85"/>
        <v>Legacy Exotic 13x14 Tom Tom</v>
      </c>
      <c r="CE59" s="4" t="s">
        <v>798</v>
      </c>
      <c r="CF59" s="70"/>
      <c r="CG59" s="23" t="s">
        <v>926</v>
      </c>
      <c r="CH59" s="4" t="s">
        <v>798</v>
      </c>
      <c r="CI59" s="70"/>
      <c r="CJ59" s="4"/>
      <c r="CK59" s="90"/>
      <c r="CL59" s="157"/>
      <c r="CM59" s="157"/>
      <c r="CN59" s="157"/>
      <c r="CO59" s="157"/>
      <c r="CP59" s="157"/>
      <c r="CQ59" s="157"/>
      <c r="CT59" s="157"/>
      <c r="CU59" s="4">
        <f t="shared" si="76"/>
        <v>0</v>
      </c>
      <c r="CV59" s="93" t="s">
        <v>957</v>
      </c>
      <c r="CW59" s="93" t="s">
        <v>958</v>
      </c>
      <c r="CX59" s="93" t="s">
        <v>959</v>
      </c>
      <c r="CY59" s="93" t="s">
        <v>960</v>
      </c>
      <c r="CZ59" s="93" t="s">
        <v>961</v>
      </c>
      <c r="DA59" s="70"/>
      <c r="DB59" s="13" t="s">
        <v>54</v>
      </c>
      <c r="DC59" s="16" t="str">
        <f t="shared" si="2"/>
        <v>Tom.9x10 Tom Tom</v>
      </c>
      <c r="DD59" s="4" t="s">
        <v>826</v>
      </c>
      <c r="DE59" s="69" t="str">
        <f t="shared" si="68"/>
        <v>MLLCLL</v>
      </c>
      <c r="DF59" s="13" t="s">
        <v>78</v>
      </c>
      <c r="DG59" s="13" t="s">
        <v>79</v>
      </c>
      <c r="DH59" s="13" t="s">
        <v>69</v>
      </c>
      <c r="DI59" s="13"/>
      <c r="DK59" s="13"/>
      <c r="DL59" s="13"/>
      <c r="DM59" s="13"/>
      <c r="DN59" s="81" t="s">
        <v>733</v>
      </c>
      <c r="DW59" t="s">
        <v>734</v>
      </c>
      <c r="DX59" s="10" t="s">
        <v>962</v>
      </c>
      <c r="EC59" s="16"/>
      <c r="ED59" s="26"/>
      <c r="EE59" s="26"/>
      <c r="EF59" s="24"/>
      <c r="EJ59" s="24"/>
      <c r="ES59" s="24"/>
      <c r="ET59" s="24"/>
      <c r="EU59" s="26"/>
      <c r="EX59" s="27"/>
      <c r="FT59" s="13">
        <f>IF(COUNTIF(Mounts,"*"&amp;FU59&amp;"*")&gt;0=TRUE,1,0)</f>
        <v>0</v>
      </c>
      <c r="FU59" t="s">
        <v>519</v>
      </c>
      <c r="FX59">
        <v>12</v>
      </c>
      <c r="FY59" s="13" t="s">
        <v>143</v>
      </c>
    </row>
    <row r="60" spans="1:181" x14ac:dyDescent="0.3">
      <c r="A60" s="11"/>
      <c r="B60" s="173"/>
      <c r="C60" s="173"/>
      <c r="D60" s="173"/>
      <c r="E60" s="130"/>
      <c r="F60" s="8"/>
      <c r="G60" s="200"/>
      <c r="H60" s="130"/>
      <c r="T60" s="173"/>
      <c r="V60" s="14"/>
      <c r="Z60" t="s">
        <v>659</v>
      </c>
      <c r="AA60" t="str">
        <f>IF($G$25="",$E$25,$G$25)</f>
        <v>Smth White w/Logo</v>
      </c>
      <c r="AB60" t="str">
        <f>IF($G$40="",$E$40,$G$40)</f>
        <v>Clear Ambassador</v>
      </c>
      <c r="AC60" t="str">
        <f>IF($G$34="",$E$34,$G$34)</f>
        <v>Clear Ambassador</v>
      </c>
      <c r="AD60" t="str">
        <f>IF($G$48="",$E$48,$G$48)</f>
        <v>C11 Thin</v>
      </c>
      <c r="AG60" s="56" t="s">
        <v>345</v>
      </c>
      <c r="AH60" s="66" t="s">
        <v>940</v>
      </c>
      <c r="AI60" s="26" t="s">
        <v>154</v>
      </c>
      <c r="AJ60" s="104" t="s">
        <v>266</v>
      </c>
      <c r="AK60" s="105" t="s">
        <v>617</v>
      </c>
      <c r="AL60" s="6"/>
      <c r="AM60" s="6"/>
      <c r="AN60" s="6"/>
      <c r="AO60" s="6"/>
      <c r="AP60" s="6"/>
      <c r="AQ60" s="6"/>
      <c r="AR60" s="6"/>
      <c r="AT60" s="90" t="s">
        <v>963</v>
      </c>
      <c r="AU60" s="15">
        <f t="shared" si="87"/>
        <v>9999</v>
      </c>
      <c r="AV60" s="15">
        <f t="shared" si="87"/>
        <v>9999</v>
      </c>
      <c r="AW60" s="15">
        <f t="shared" si="87"/>
        <v>9999</v>
      </c>
      <c r="AX60" s="15">
        <f t="shared" si="87"/>
        <v>9999</v>
      </c>
      <c r="AY60" s="15">
        <f t="shared" si="87"/>
        <v>0</v>
      </c>
      <c r="AZ60" s="15">
        <f t="shared" si="87"/>
        <v>400</v>
      </c>
      <c r="BA60" s="15">
        <f t="shared" si="87"/>
        <v>0</v>
      </c>
      <c r="BB60" s="15">
        <f t="shared" si="87"/>
        <v>0</v>
      </c>
      <c r="BC60" s="15">
        <f t="shared" si="87"/>
        <v>0</v>
      </c>
      <c r="BD60" s="15">
        <f t="shared" si="87"/>
        <v>0</v>
      </c>
      <c r="BE60" s="15">
        <f t="shared" si="87"/>
        <v>9999</v>
      </c>
      <c r="BF60" s="15">
        <f t="shared" si="87"/>
        <v>9999</v>
      </c>
      <c r="BG60" s="6"/>
      <c r="BH60" s="6"/>
      <c r="BN60" s="11"/>
      <c r="BO60" s="11"/>
      <c r="BP60" s="4" t="s">
        <v>832</v>
      </c>
      <c r="BQ60" s="4"/>
      <c r="BR60" s="6" t="str">
        <f t="shared" si="75"/>
        <v>Classic Maple 14x14 Tom Tom</v>
      </c>
      <c r="BS60" s="4" t="s">
        <v>832</v>
      </c>
      <c r="BT60" s="71"/>
      <c r="BV60" s="6" t="str">
        <f t="shared" si="83"/>
        <v>Legacy Maple 14x14 Tom Tom</v>
      </c>
      <c r="BW60" s="4" t="s">
        <v>832</v>
      </c>
      <c r="BX60" s="67"/>
      <c r="BY60" s="4"/>
      <c r="BZ60" s="6" t="str">
        <f t="shared" si="84"/>
        <v>Legacy Mahogany 14x14 Tom Tom</v>
      </c>
      <c r="CA60" s="4" t="s">
        <v>832</v>
      </c>
      <c r="CB60" s="67"/>
      <c r="CC60" s="4"/>
      <c r="CD60" s="6" t="str">
        <f t="shared" si="85"/>
        <v>Legacy Exotic 14x14 Tom Tom</v>
      </c>
      <c r="CE60" s="4" t="s">
        <v>832</v>
      </c>
      <c r="CF60" s="70"/>
      <c r="CG60" s="23" t="s">
        <v>933</v>
      </c>
      <c r="CH60" s="4" t="s">
        <v>832</v>
      </c>
      <c r="CI60" s="70"/>
      <c r="CJ60" s="4"/>
      <c r="CK60" s="90"/>
      <c r="CL60" s="157"/>
      <c r="CM60" s="157"/>
      <c r="CN60" s="157"/>
      <c r="CO60" s="157"/>
      <c r="CP60" s="157"/>
      <c r="CQ60" s="157"/>
      <c r="CT60" s="157"/>
      <c r="CU60" s="4">
        <f t="shared" si="76"/>
        <v>0</v>
      </c>
      <c r="CV60" s="93" t="s">
        <v>964</v>
      </c>
      <c r="CW60" s="93" t="s">
        <v>965</v>
      </c>
      <c r="CX60" s="93" t="s">
        <v>966</v>
      </c>
      <c r="CY60" s="93" t="s">
        <v>967</v>
      </c>
      <c r="CZ60" s="93" t="s">
        <v>968</v>
      </c>
      <c r="DA60" s="70"/>
      <c r="DB60" s="13" t="s">
        <v>54</v>
      </c>
      <c r="DC60" s="16" t="str">
        <f t="shared" si="2"/>
        <v>Tom.9x12 Tom Tom</v>
      </c>
      <c r="DD60" s="4" t="s">
        <v>849</v>
      </c>
      <c r="DE60" s="69" t="str">
        <f t="shared" si="68"/>
        <v>MLLCLL</v>
      </c>
      <c r="DF60" s="13" t="s">
        <v>78</v>
      </c>
      <c r="DG60" s="13" t="s">
        <v>79</v>
      </c>
      <c r="DH60" s="13" t="s">
        <v>69</v>
      </c>
      <c r="DI60" s="13"/>
      <c r="DK60" s="13"/>
      <c r="DL60" s="13"/>
      <c r="DM60" s="13"/>
      <c r="DN60" s="81" t="s">
        <v>733</v>
      </c>
      <c r="EC60" s="16"/>
      <c r="ED60" s="26"/>
      <c r="EE60" s="26"/>
      <c r="EF60" s="24"/>
      <c r="EG60" s="24"/>
      <c r="EH60" s="24"/>
      <c r="EJ60" s="24"/>
      <c r="ES60" s="24"/>
      <c r="ET60" s="24"/>
      <c r="EU60" s="26"/>
      <c r="EX60" s="27"/>
      <c r="FQ60" s="14" t="s">
        <v>969</v>
      </c>
      <c r="FR60">
        <f>IF(AND(FR56=1,FR53+FR54&gt;0),1,0)</f>
        <v>0</v>
      </c>
    </row>
    <row r="61" spans="1:181" x14ac:dyDescent="0.3">
      <c r="A61" s="11"/>
      <c r="B61" s="173"/>
      <c r="C61" s="173"/>
      <c r="D61" s="173"/>
      <c r="E61" s="130"/>
      <c r="F61" s="8"/>
      <c r="G61" s="200"/>
      <c r="H61" s="130"/>
      <c r="AG61" s="56" t="s">
        <v>427</v>
      </c>
      <c r="AH61" s="66" t="s">
        <v>940</v>
      </c>
      <c r="AI61" s="26" t="s">
        <v>154</v>
      </c>
      <c r="AJ61" s="104" t="s">
        <v>266</v>
      </c>
      <c r="AK61" s="105" t="s">
        <v>617</v>
      </c>
      <c r="AL61" s="6"/>
      <c r="AM61" s="6"/>
      <c r="AN61" s="6"/>
      <c r="AO61" s="6"/>
      <c r="AP61" s="6"/>
      <c r="AQ61" s="6"/>
      <c r="AR61" s="6"/>
      <c r="AT61" s="90" t="s">
        <v>970</v>
      </c>
      <c r="AU61" s="15">
        <f t="shared" si="87"/>
        <v>243</v>
      </c>
      <c r="AV61" s="15">
        <f t="shared" si="87"/>
        <v>243</v>
      </c>
      <c r="AW61" s="15">
        <f t="shared" si="87"/>
        <v>243</v>
      </c>
      <c r="AX61" s="15">
        <f t="shared" si="87"/>
        <v>0</v>
      </c>
      <c r="AY61" s="15">
        <f t="shared" si="87"/>
        <v>0</v>
      </c>
      <c r="AZ61" s="15">
        <f t="shared" si="87"/>
        <v>400</v>
      </c>
      <c r="BA61" s="15">
        <f t="shared" si="87"/>
        <v>0</v>
      </c>
      <c r="BB61" s="15">
        <f t="shared" si="87"/>
        <v>0</v>
      </c>
      <c r="BC61" s="15">
        <f t="shared" si="87"/>
        <v>0</v>
      </c>
      <c r="BD61" s="15">
        <f t="shared" si="87"/>
        <v>0</v>
      </c>
      <c r="BE61" s="15">
        <f t="shared" si="87"/>
        <v>0</v>
      </c>
      <c r="BF61" s="15">
        <f t="shared" si="87"/>
        <v>0</v>
      </c>
      <c r="BG61" s="6"/>
      <c r="BH61" s="6"/>
      <c r="BN61" s="11"/>
      <c r="BO61" s="11"/>
      <c r="BP61" s="4" t="s">
        <v>787</v>
      </c>
      <c r="BQ61" s="4"/>
      <c r="BR61" s="6" t="str">
        <f t="shared" si="75"/>
        <v>Classic Maple 12x15 Tom Tom</v>
      </c>
      <c r="BS61" s="4" t="s">
        <v>787</v>
      </c>
      <c r="BT61" s="71"/>
      <c r="BV61" s="6" t="str">
        <f t="shared" si="83"/>
        <v>Legacy Maple 12x15 Tom Tom</v>
      </c>
      <c r="BW61" s="4" t="s">
        <v>787</v>
      </c>
      <c r="BX61" s="67"/>
      <c r="BY61" s="4"/>
      <c r="BZ61" s="6" t="str">
        <f t="shared" si="84"/>
        <v>Legacy Mahogany 12x15 Tom Tom</v>
      </c>
      <c r="CA61" s="4" t="s">
        <v>787</v>
      </c>
      <c r="CB61" s="67"/>
      <c r="CC61" s="4"/>
      <c r="CD61" s="6" t="str">
        <f t="shared" si="85"/>
        <v>Legacy Exotic 12x15 Tom Tom</v>
      </c>
      <c r="CE61" s="4" t="s">
        <v>787</v>
      </c>
      <c r="CF61" s="70"/>
      <c r="CG61" s="23" t="s">
        <v>941</v>
      </c>
      <c r="CH61" s="4" t="s">
        <v>787</v>
      </c>
      <c r="CI61" s="70"/>
      <c r="CJ61" s="4"/>
      <c r="CK61" s="90"/>
      <c r="CL61" s="157"/>
      <c r="CM61" s="157"/>
      <c r="CN61" s="157"/>
      <c r="CO61" s="157"/>
      <c r="CP61" s="157"/>
      <c r="CQ61" s="157"/>
      <c r="CT61" s="157"/>
      <c r="CU61" s="4">
        <f t="shared" si="76"/>
        <v>0</v>
      </c>
      <c r="CV61" s="93" t="s">
        <v>971</v>
      </c>
      <c r="CW61" s="93" t="s">
        <v>972</v>
      </c>
      <c r="CX61" s="93" t="s">
        <v>973</v>
      </c>
      <c r="CY61" s="93" t="s">
        <v>974</v>
      </c>
      <c r="CZ61" s="93" t="s">
        <v>975</v>
      </c>
      <c r="DA61" s="70"/>
      <c r="DB61" s="13" t="s">
        <v>54</v>
      </c>
      <c r="DC61" s="16" t="str">
        <f t="shared" si="2"/>
        <v>Tom.9x13 Tom Tom</v>
      </c>
      <c r="DD61" s="4" t="s">
        <v>875</v>
      </c>
      <c r="DE61" s="69" t="str">
        <f t="shared" si="68"/>
        <v>MLLCLLSIST</v>
      </c>
      <c r="DF61" s="13" t="s">
        <v>78</v>
      </c>
      <c r="DG61" s="13" t="s">
        <v>79</v>
      </c>
      <c r="DH61" s="13" t="s">
        <v>69</v>
      </c>
      <c r="DI61" s="13"/>
      <c r="DK61" s="13" t="s">
        <v>82</v>
      </c>
      <c r="DL61" s="13" t="s">
        <v>83</v>
      </c>
      <c r="DM61" s="13"/>
      <c r="DN61" s="81" t="s">
        <v>733</v>
      </c>
      <c r="EC61" s="16"/>
      <c r="ED61" s="26"/>
      <c r="EE61" s="26"/>
      <c r="EF61" s="24"/>
      <c r="EG61" s="24"/>
      <c r="EH61" s="24"/>
      <c r="EJ61" s="24"/>
      <c r="ES61" s="24"/>
      <c r="ET61" s="24"/>
      <c r="EU61" s="26"/>
      <c r="EX61" s="27"/>
      <c r="EY61" s="18"/>
      <c r="FA61" s="10" t="s">
        <v>544</v>
      </c>
      <c r="FB61" s="207" t="s">
        <v>77</v>
      </c>
      <c r="FQ61" s="14" t="s">
        <v>976</v>
      </c>
      <c r="FR61">
        <f>IF(OR(AND(FR58=1,FR52+FR53&gt;0),AND(FR57=1,FR52=1)),1,0)</f>
        <v>0</v>
      </c>
      <c r="FT61" s="13">
        <f>IF(COUNTIF(Mounts,"*"&amp;FU61&amp;"*")&gt;0=TRUE,1,0)</f>
        <v>0</v>
      </c>
      <c r="FU61" t="s">
        <v>539</v>
      </c>
      <c r="FX61">
        <v>10</v>
      </c>
      <c r="FY61" s="13" t="s">
        <v>540</v>
      </c>
    </row>
    <row r="62" spans="1:181" x14ac:dyDescent="0.3">
      <c r="E62" s="130"/>
      <c r="F62" s="8"/>
      <c r="G62" s="200"/>
      <c r="H62" s="1"/>
      <c r="T62" s="173"/>
      <c r="AG62" s="56" t="s">
        <v>412</v>
      </c>
      <c r="AH62" s="66" t="s">
        <v>940</v>
      </c>
      <c r="AI62" s="26" t="s">
        <v>154</v>
      </c>
      <c r="AJ62" s="104" t="s">
        <v>266</v>
      </c>
      <c r="AK62" s="105" t="s">
        <v>617</v>
      </c>
      <c r="AL62" s="6"/>
      <c r="AM62" s="6"/>
      <c r="AN62" s="6"/>
      <c r="AO62" s="6"/>
      <c r="AP62" s="6"/>
      <c r="AQ62" s="6"/>
      <c r="AR62" s="6"/>
      <c r="AT62" s="90" t="s">
        <v>977</v>
      </c>
      <c r="AU62" s="15">
        <f t="shared" si="87"/>
        <v>9999</v>
      </c>
      <c r="AV62" s="15">
        <f t="shared" si="87"/>
        <v>9999</v>
      </c>
      <c r="AW62" s="15">
        <f t="shared" si="87"/>
        <v>9999</v>
      </c>
      <c r="AX62" s="15">
        <f t="shared" si="87"/>
        <v>9999</v>
      </c>
      <c r="AY62" s="15">
        <f t="shared" si="87"/>
        <v>0</v>
      </c>
      <c r="AZ62" s="15">
        <f t="shared" si="87"/>
        <v>400</v>
      </c>
      <c r="BA62" s="15">
        <f t="shared" si="87"/>
        <v>0</v>
      </c>
      <c r="BB62" s="15">
        <f t="shared" si="87"/>
        <v>0</v>
      </c>
      <c r="BC62" s="15">
        <f t="shared" si="87"/>
        <v>0</v>
      </c>
      <c r="BD62" s="15">
        <f t="shared" si="87"/>
        <v>0</v>
      </c>
      <c r="BE62" s="15">
        <f t="shared" si="87"/>
        <v>9999</v>
      </c>
      <c r="BF62" s="15">
        <f t="shared" si="87"/>
        <v>9999</v>
      </c>
      <c r="BG62" s="6"/>
      <c r="BH62" s="6"/>
      <c r="BN62" s="11"/>
      <c r="BO62" s="11"/>
      <c r="BP62" s="4" t="s">
        <v>811</v>
      </c>
      <c r="BQ62" s="4"/>
      <c r="BR62" s="6" t="str">
        <f t="shared" si="75"/>
        <v>Classic Maple 13x15 Tom Tom</v>
      </c>
      <c r="BS62" s="4" t="s">
        <v>811</v>
      </c>
      <c r="BT62" s="71"/>
      <c r="BV62" s="6" t="str">
        <f t="shared" si="83"/>
        <v>Legacy Maple 13x15 Tom Tom</v>
      </c>
      <c r="BW62" s="4" t="s">
        <v>811</v>
      </c>
      <c r="BX62" s="67"/>
      <c r="BY62" s="4"/>
      <c r="BZ62" s="6" t="str">
        <f t="shared" si="84"/>
        <v>Legacy Mahogany 13x15 Tom Tom</v>
      </c>
      <c r="CA62" s="4" t="s">
        <v>811</v>
      </c>
      <c r="CB62" s="67"/>
      <c r="CC62" s="4"/>
      <c r="CD62" s="6" t="str">
        <f t="shared" si="85"/>
        <v>Legacy Exotic 13x15 Tom Tom</v>
      </c>
      <c r="CE62" s="4" t="s">
        <v>811</v>
      </c>
      <c r="CF62" s="70"/>
      <c r="CG62" s="23" t="s">
        <v>949</v>
      </c>
      <c r="CH62" s="4" t="s">
        <v>811</v>
      </c>
      <c r="CI62" s="70"/>
      <c r="CJ62" s="4"/>
      <c r="CK62" s="90"/>
      <c r="CL62" s="157"/>
      <c r="CM62" s="157"/>
      <c r="CN62" s="157"/>
      <c r="CO62" s="157"/>
      <c r="CP62" s="157"/>
      <c r="CQ62" s="157"/>
      <c r="CT62" s="157"/>
      <c r="CU62" s="4">
        <f t="shared" si="76"/>
        <v>0</v>
      </c>
      <c r="CV62" s="93" t="s">
        <v>978</v>
      </c>
      <c r="CW62" s="93" t="s">
        <v>979</v>
      </c>
      <c r="CX62" s="93" t="s">
        <v>980</v>
      </c>
      <c r="CY62" s="93" t="s">
        <v>981</v>
      </c>
      <c r="CZ62" s="93" t="s">
        <v>982</v>
      </c>
      <c r="DA62" s="70"/>
      <c r="DB62" s="13" t="s">
        <v>54</v>
      </c>
      <c r="DC62" s="16" t="str">
        <f t="shared" si="2"/>
        <v>Tom.9x14 Tom Tom</v>
      </c>
      <c r="DD62" s="4" t="s">
        <v>927</v>
      </c>
      <c r="DE62" s="69" t="str">
        <f t="shared" si="68"/>
        <v>MLLCLL</v>
      </c>
      <c r="DF62" s="13" t="s">
        <v>78</v>
      </c>
      <c r="DG62" s="13" t="s">
        <v>79</v>
      </c>
      <c r="DH62" s="13" t="s">
        <v>69</v>
      </c>
      <c r="DI62" s="13"/>
      <c r="DK62" s="13"/>
      <c r="DL62" s="13"/>
      <c r="DM62" s="13"/>
      <c r="DN62" s="81" t="s">
        <v>733</v>
      </c>
      <c r="EC62" s="16"/>
      <c r="ED62" s="26"/>
      <c r="EE62" s="26"/>
      <c r="EF62" s="24"/>
      <c r="EG62" s="24"/>
      <c r="EH62" s="24"/>
      <c r="EJ62" s="24"/>
      <c r="EN62" s="24"/>
      <c r="ES62" s="24"/>
      <c r="ET62" s="24"/>
      <c r="EU62" s="26"/>
      <c r="EX62" s="27"/>
      <c r="EY62" s="18"/>
      <c r="FA62" s="10" t="s">
        <v>657</v>
      </c>
      <c r="FB62" s="90" t="s">
        <v>761</v>
      </c>
      <c r="FC62" s="13" t="s">
        <v>675</v>
      </c>
      <c r="FD62" t="s">
        <v>690</v>
      </c>
      <c r="FE62" t="s">
        <v>707</v>
      </c>
      <c r="FF62" t="s">
        <v>724</v>
      </c>
      <c r="FQ62" s="14" t="s">
        <v>983</v>
      </c>
      <c r="FR62">
        <f>SUM(FR60:FR61)</f>
        <v>0</v>
      </c>
      <c r="FT62" s="13">
        <f>IF(COUNTIF(Mounts,"*"&amp;FU62&amp;"*")&gt;0=TRUE,1,0)</f>
        <v>0</v>
      </c>
      <c r="FU62" t="s">
        <v>560</v>
      </c>
      <c r="FX62">
        <v>10</v>
      </c>
      <c r="FY62" s="13" t="s">
        <v>143</v>
      </c>
    </row>
    <row r="63" spans="1:181" x14ac:dyDescent="0.3">
      <c r="C63" s="173"/>
      <c r="E63" s="8"/>
      <c r="F63" s="8"/>
      <c r="G63" s="200"/>
      <c r="H63" s="1"/>
      <c r="T63" s="173"/>
      <c r="AG63" s="56" t="s">
        <v>984</v>
      </c>
      <c r="AH63" s="66" t="s">
        <v>940</v>
      </c>
      <c r="AI63" s="26" t="s">
        <v>154</v>
      </c>
      <c r="AJ63" s="104" t="s">
        <v>266</v>
      </c>
      <c r="AK63" s="105" t="s">
        <v>617</v>
      </c>
      <c r="AL63" s="6"/>
      <c r="AM63" s="6"/>
      <c r="AN63" s="6"/>
      <c r="AO63" s="6"/>
      <c r="AP63" s="6"/>
      <c r="AQ63" s="6"/>
      <c r="AR63" s="6"/>
      <c r="AT63" s="90" t="s">
        <v>985</v>
      </c>
      <c r="AU63" s="15">
        <f t="shared" si="87"/>
        <v>243</v>
      </c>
      <c r="AV63" s="15">
        <f t="shared" si="87"/>
        <v>243</v>
      </c>
      <c r="AW63" s="15">
        <f t="shared" si="87"/>
        <v>243</v>
      </c>
      <c r="AX63" s="15">
        <f t="shared" si="87"/>
        <v>0</v>
      </c>
      <c r="AY63" s="15">
        <f t="shared" si="87"/>
        <v>0</v>
      </c>
      <c r="AZ63" s="15">
        <f t="shared" si="87"/>
        <v>400</v>
      </c>
      <c r="BA63" s="15">
        <f t="shared" si="87"/>
        <v>0</v>
      </c>
      <c r="BB63" s="15">
        <f t="shared" si="87"/>
        <v>0</v>
      </c>
      <c r="BC63" s="15">
        <f t="shared" si="87"/>
        <v>0</v>
      </c>
      <c r="BD63" s="15">
        <f t="shared" si="87"/>
        <v>0</v>
      </c>
      <c r="BE63" s="15">
        <f t="shared" si="87"/>
        <v>0</v>
      </c>
      <c r="BF63" s="15">
        <f t="shared" si="87"/>
        <v>0</v>
      </c>
      <c r="BG63" s="6"/>
      <c r="BH63" s="6"/>
      <c r="BN63" s="11"/>
      <c r="BO63" s="11"/>
      <c r="BP63" s="4" t="s">
        <v>844</v>
      </c>
      <c r="BQ63" s="4"/>
      <c r="BR63" s="6" t="str">
        <f t="shared" si="75"/>
        <v>Classic Maple 14x15 Tom Tom</v>
      </c>
      <c r="BS63" s="4" t="s">
        <v>844</v>
      </c>
      <c r="BT63" s="71"/>
      <c r="BV63" s="6" t="str">
        <f t="shared" si="83"/>
        <v>Legacy Maple 14x15 Tom Tom</v>
      </c>
      <c r="BW63" s="4" t="s">
        <v>844</v>
      </c>
      <c r="BX63" s="67"/>
      <c r="BY63" s="4"/>
      <c r="BZ63" s="6" t="str">
        <f t="shared" si="84"/>
        <v>Legacy Mahogany 14x15 Tom Tom</v>
      </c>
      <c r="CA63" s="4" t="s">
        <v>844</v>
      </c>
      <c r="CB63" s="67"/>
      <c r="CC63" s="4"/>
      <c r="CD63" s="6" t="str">
        <f t="shared" si="85"/>
        <v>Legacy Exotic 14x15 Tom Tom</v>
      </c>
      <c r="CE63" s="4" t="s">
        <v>844</v>
      </c>
      <c r="CF63" s="70"/>
      <c r="CG63" s="23" t="s">
        <v>956</v>
      </c>
      <c r="CH63" s="4" t="s">
        <v>844</v>
      </c>
      <c r="CI63" s="70"/>
      <c r="CJ63" s="4"/>
      <c r="CK63" s="90"/>
      <c r="CL63" s="157"/>
      <c r="CM63" s="157"/>
      <c r="CN63" s="157"/>
      <c r="CO63" s="157"/>
      <c r="CP63" s="157"/>
      <c r="CQ63" s="157"/>
      <c r="CT63" s="157"/>
      <c r="CU63" s="4">
        <f t="shared" si="76"/>
        <v>0</v>
      </c>
      <c r="CV63" s="93" t="s">
        <v>986</v>
      </c>
      <c r="CW63" s="93" t="s">
        <v>987</v>
      </c>
      <c r="CX63" s="93" t="s">
        <v>988</v>
      </c>
      <c r="CY63" s="93" t="s">
        <v>989</v>
      </c>
      <c r="CZ63" s="93" t="s">
        <v>990</v>
      </c>
      <c r="DA63" s="70"/>
      <c r="DB63" s="13" t="s">
        <v>55</v>
      </c>
      <c r="DC63" s="16" t="str">
        <f t="shared" si="2"/>
        <v>Snare.3.5x13 Snare</v>
      </c>
      <c r="DD63" s="4" t="s">
        <v>340</v>
      </c>
      <c r="DE63" s="69" t="str">
        <f t="shared" si="68"/>
        <v>PTTB</v>
      </c>
      <c r="DF63" s="13"/>
      <c r="DG63" s="13"/>
      <c r="DH63" s="13"/>
      <c r="DI63" s="13"/>
      <c r="DK63" s="13"/>
      <c r="DL63" s="13" t="s">
        <v>991</v>
      </c>
      <c r="DM63" s="13" t="s">
        <v>84</v>
      </c>
      <c r="EC63" s="16"/>
      <c r="ED63" s="26"/>
      <c r="EE63" s="26"/>
      <c r="EF63" s="24"/>
      <c r="EG63" s="24"/>
      <c r="EH63" s="24"/>
      <c r="EJ63" s="24"/>
      <c r="EK63" s="24"/>
      <c r="EL63" s="24"/>
      <c r="EM63" s="24"/>
      <c r="EN63" s="24"/>
      <c r="EO63" s="24"/>
      <c r="EP63" s="24"/>
      <c r="EQ63" s="24"/>
      <c r="ER63" s="24"/>
      <c r="ES63" s="24"/>
      <c r="ET63" s="24"/>
      <c r="EU63" s="26"/>
      <c r="EX63" s="27"/>
      <c r="EY63" s="18"/>
      <c r="FA63" s="10" t="s">
        <v>657</v>
      </c>
      <c r="FB63" s="90" t="s">
        <v>773</v>
      </c>
      <c r="FC63" t="s">
        <v>690</v>
      </c>
      <c r="FD63" t="s">
        <v>707</v>
      </c>
      <c r="FE63" t="s">
        <v>724</v>
      </c>
      <c r="FM63" t="s">
        <v>992</v>
      </c>
      <c r="FN63" t="s">
        <v>993</v>
      </c>
    </row>
    <row r="64" spans="1:181" x14ac:dyDescent="0.3">
      <c r="B64" s="173"/>
      <c r="C64" s="173"/>
      <c r="D64" s="173"/>
      <c r="E64" s="112"/>
      <c r="F64" s="28"/>
      <c r="G64" s="131"/>
      <c r="H64" s="1"/>
      <c r="T64" s="173"/>
      <c r="V64" s="14"/>
      <c r="AG64" s="56" t="s">
        <v>994</v>
      </c>
      <c r="AH64" s="66" t="s">
        <v>940</v>
      </c>
      <c r="AI64" s="26" t="s">
        <v>154</v>
      </c>
      <c r="AJ64" s="104" t="s">
        <v>266</v>
      </c>
      <c r="AK64" s="105" t="s">
        <v>617</v>
      </c>
      <c r="AL64" s="6"/>
      <c r="AM64" s="6"/>
      <c r="AN64" s="6"/>
      <c r="AO64" s="6"/>
      <c r="AP64" s="6"/>
      <c r="AQ64" s="6"/>
      <c r="AR64" s="6"/>
      <c r="AT64" s="90" t="s">
        <v>995</v>
      </c>
      <c r="AU64" s="15">
        <f t="shared" si="87"/>
        <v>307</v>
      </c>
      <c r="AV64" s="15">
        <f t="shared" si="87"/>
        <v>307</v>
      </c>
      <c r="AW64" s="15">
        <f t="shared" si="87"/>
        <v>307</v>
      </c>
      <c r="AX64" s="15">
        <f t="shared" si="87"/>
        <v>0</v>
      </c>
      <c r="AY64" s="15">
        <f t="shared" si="87"/>
        <v>0</v>
      </c>
      <c r="AZ64" s="15">
        <f t="shared" si="87"/>
        <v>152</v>
      </c>
      <c r="BA64" s="15">
        <f t="shared" si="87"/>
        <v>0</v>
      </c>
      <c r="BB64" s="15">
        <f t="shared" si="87"/>
        <v>0</v>
      </c>
      <c r="BC64" s="15">
        <f t="shared" si="87"/>
        <v>0</v>
      </c>
      <c r="BD64" s="15">
        <f t="shared" si="87"/>
        <v>0</v>
      </c>
      <c r="BE64" s="15">
        <f t="shared" si="87"/>
        <v>0</v>
      </c>
      <c r="BF64" s="15">
        <f t="shared" si="87"/>
        <v>0</v>
      </c>
      <c r="BG64" s="6"/>
      <c r="BH64" s="6"/>
      <c r="BN64" s="11"/>
      <c r="BO64" s="11"/>
      <c r="BP64" s="4" t="s">
        <v>855</v>
      </c>
      <c r="BQ64" s="4"/>
      <c r="BR64" s="6" t="str">
        <f>$BS$1&amp;" "&amp;BS64</f>
        <v>Classic Maple 14x16 Tom Tom</v>
      </c>
      <c r="BS64" s="4" t="s">
        <v>855</v>
      </c>
      <c r="BT64" s="71"/>
      <c r="BV64" s="6" t="str">
        <f t="shared" si="83"/>
        <v xml:space="preserve">Legacy Maple 13x16 Tom Tom </v>
      </c>
      <c r="BW64" s="4" t="s">
        <v>820</v>
      </c>
      <c r="BX64" s="67"/>
      <c r="BY64" s="4"/>
      <c r="BZ64" s="6" t="str">
        <f t="shared" si="84"/>
        <v xml:space="preserve">Legacy Mahogany 13x16 Tom Tom </v>
      </c>
      <c r="CA64" s="4" t="s">
        <v>820</v>
      </c>
      <c r="CB64" s="67"/>
      <c r="CC64" s="4"/>
      <c r="CD64" s="6" t="str">
        <f t="shared" si="85"/>
        <v xml:space="preserve">Legacy Exotic 13x16 Tom Tom </v>
      </c>
      <c r="CE64" s="4" t="s">
        <v>820</v>
      </c>
      <c r="CF64" s="70"/>
      <c r="CG64" s="23" t="s">
        <v>970</v>
      </c>
      <c r="CH64" s="4" t="s">
        <v>855</v>
      </c>
      <c r="CI64" s="70"/>
      <c r="CJ64" s="4"/>
      <c r="CK64" s="90"/>
      <c r="CL64" s="157"/>
      <c r="CM64" s="157"/>
      <c r="CN64" s="157"/>
      <c r="CO64" s="157"/>
      <c r="CP64" s="157"/>
      <c r="CQ64" s="157"/>
      <c r="CT64" s="157"/>
      <c r="CU64" s="4">
        <f t="shared" si="76"/>
        <v>0</v>
      </c>
      <c r="CV64" s="109" t="e">
        <v>#N/A</v>
      </c>
      <c r="CW64" s="93" t="s">
        <v>996</v>
      </c>
      <c r="CX64" s="93" t="s">
        <v>997</v>
      </c>
      <c r="CY64" s="93" t="s">
        <v>998</v>
      </c>
      <c r="CZ64" s="109" t="e">
        <v>#N/A</v>
      </c>
      <c r="DA64" s="70"/>
      <c r="DB64" s="13" t="s">
        <v>55</v>
      </c>
      <c r="DC64" s="16" t="str">
        <f t="shared" si="2"/>
        <v>Snare.4x14 8 Lug Snare</v>
      </c>
      <c r="DD64" s="4" t="s">
        <v>439</v>
      </c>
      <c r="DE64" s="69" t="str">
        <f t="shared" si="68"/>
        <v>PTTB</v>
      </c>
      <c r="DF64" s="13"/>
      <c r="DG64" s="13"/>
      <c r="DH64" s="13"/>
      <c r="DI64" s="13"/>
      <c r="DK64" s="13"/>
      <c r="DL64" s="13" t="s">
        <v>991</v>
      </c>
      <c r="DM64" s="13" t="s">
        <v>84</v>
      </c>
      <c r="EC64" s="16"/>
      <c r="ED64" s="26"/>
      <c r="EE64" s="26"/>
      <c r="EF64" s="24"/>
      <c r="EG64" s="24"/>
      <c r="EH64" s="24"/>
      <c r="EJ64" s="24"/>
      <c r="EK64" s="24"/>
      <c r="EL64" s="24"/>
      <c r="EM64" s="24"/>
      <c r="EO64" s="24"/>
      <c r="EP64" s="24"/>
      <c r="EQ64" s="24"/>
      <c r="ER64" s="24"/>
      <c r="ES64" s="24"/>
      <c r="ET64" s="24"/>
      <c r="EU64" s="26"/>
      <c r="EX64" s="27"/>
      <c r="EY64" s="18"/>
      <c r="FA64" s="10" t="s">
        <v>707</v>
      </c>
      <c r="FB64" s="90" t="s">
        <v>782</v>
      </c>
      <c r="FC64" t="s">
        <v>724</v>
      </c>
      <c r="FN64" t="s">
        <v>999</v>
      </c>
      <c r="FT64" s="13">
        <f>IF(COUNTIF(Mounts,"*"&amp;FU64&amp;"*")&gt;0=TRUE,1,0)</f>
        <v>0</v>
      </c>
      <c r="FU64" t="s">
        <v>452</v>
      </c>
      <c r="FX64">
        <v>9</v>
      </c>
      <c r="FY64" s="13" t="s">
        <v>70</v>
      </c>
    </row>
    <row r="65" spans="2:181" x14ac:dyDescent="0.3">
      <c r="B65" s="173"/>
      <c r="C65" s="173"/>
      <c r="D65" s="173"/>
      <c r="E65" s="8"/>
      <c r="F65" s="8"/>
      <c r="G65" s="131"/>
      <c r="H65" s="1"/>
      <c r="T65" s="173"/>
      <c r="X65" s="13"/>
      <c r="Y65" s="13"/>
      <c r="Z65" s="13"/>
      <c r="AA65" s="13"/>
      <c r="AB65" s="13"/>
      <c r="AC65" s="13"/>
      <c r="AD65" s="13"/>
      <c r="AG65" s="56" t="s">
        <v>1000</v>
      </c>
      <c r="AH65" s="66" t="s">
        <v>940</v>
      </c>
      <c r="AI65" s="26" t="s">
        <v>154</v>
      </c>
      <c r="AJ65" s="104" t="s">
        <v>266</v>
      </c>
      <c r="AK65" s="105" t="s">
        <v>617</v>
      </c>
      <c r="AL65" s="6"/>
      <c r="AM65" s="6"/>
      <c r="AN65" s="6"/>
      <c r="AO65" s="6"/>
      <c r="AP65" s="6"/>
      <c r="AQ65" s="6"/>
      <c r="AR65" s="6"/>
      <c r="AT65" s="90" t="s">
        <v>1001</v>
      </c>
      <c r="AU65" s="15">
        <f t="shared" si="87"/>
        <v>256</v>
      </c>
      <c r="AV65" s="15">
        <f t="shared" si="87"/>
        <v>256</v>
      </c>
      <c r="AW65" s="15">
        <f t="shared" si="87"/>
        <v>256</v>
      </c>
      <c r="AX65" s="15">
        <f t="shared" si="87"/>
        <v>0</v>
      </c>
      <c r="AY65" s="15">
        <f t="shared" si="87"/>
        <v>9999</v>
      </c>
      <c r="AZ65" s="15">
        <f t="shared" si="87"/>
        <v>9999</v>
      </c>
      <c r="BA65" s="15">
        <f t="shared" si="87"/>
        <v>9999</v>
      </c>
      <c r="BB65" s="15">
        <f t="shared" si="87"/>
        <v>9999</v>
      </c>
      <c r="BC65" s="15">
        <f t="shared" si="87"/>
        <v>9999</v>
      </c>
      <c r="BD65" s="15">
        <f t="shared" si="87"/>
        <v>9999</v>
      </c>
      <c r="BE65" s="15">
        <f t="shared" si="87"/>
        <v>0</v>
      </c>
      <c r="BF65" s="15">
        <f t="shared" si="87"/>
        <v>0</v>
      </c>
      <c r="BG65" s="6"/>
      <c r="BH65" s="6"/>
      <c r="BN65" s="11"/>
      <c r="BO65" s="11"/>
      <c r="BP65" s="4" t="s">
        <v>871</v>
      </c>
      <c r="BQ65" s="4"/>
      <c r="BR65" s="6" t="str">
        <f>$BS$1&amp;" "&amp;BS65</f>
        <v>Classic Maple 16x16 Tom Tom</v>
      </c>
      <c r="BS65" s="4" t="s">
        <v>871</v>
      </c>
      <c r="BT65" s="71"/>
      <c r="BV65" s="6" t="str">
        <f t="shared" si="83"/>
        <v>Legacy Maple 14x16 Tom Tom</v>
      </c>
      <c r="BW65" s="4" t="s">
        <v>855</v>
      </c>
      <c r="BX65" s="67"/>
      <c r="BY65" s="4"/>
      <c r="BZ65" s="6" t="str">
        <f t="shared" si="84"/>
        <v>Legacy Mahogany 14x16 Tom Tom</v>
      </c>
      <c r="CA65" s="4" t="s">
        <v>855</v>
      </c>
      <c r="CB65" s="67"/>
      <c r="CC65" s="4"/>
      <c r="CD65" s="6" t="str">
        <f t="shared" si="85"/>
        <v>Legacy Exotic 14x16 Tom Tom</v>
      </c>
      <c r="CE65" s="4" t="s">
        <v>855</v>
      </c>
      <c r="CF65" s="70"/>
      <c r="CG65" s="23" t="s">
        <v>985</v>
      </c>
      <c r="CH65" s="4" t="s">
        <v>871</v>
      </c>
      <c r="CI65" s="70"/>
      <c r="CJ65" s="4"/>
      <c r="CK65" s="90"/>
      <c r="CL65" s="157"/>
      <c r="CM65" s="157"/>
      <c r="CN65" s="157"/>
      <c r="CO65" s="157"/>
      <c r="CP65" s="157"/>
      <c r="CQ65" s="157"/>
      <c r="CT65" s="157"/>
      <c r="CU65" s="4">
        <f t="shared" si="76"/>
        <v>0</v>
      </c>
      <c r="CV65" s="93" t="s">
        <v>1002</v>
      </c>
      <c r="CW65" s="93" t="s">
        <v>1003</v>
      </c>
      <c r="CX65" s="93" t="s">
        <v>1004</v>
      </c>
      <c r="CY65" s="93" t="s">
        <v>1005</v>
      </c>
      <c r="CZ65" s="93" t="s">
        <v>1006</v>
      </c>
      <c r="DA65" s="70"/>
      <c r="DB65" s="13" t="s">
        <v>55</v>
      </c>
      <c r="DC65" s="16" t="str">
        <f t="shared" si="2"/>
        <v>Snare.4x14 Snare</v>
      </c>
      <c r="DD65" s="4" t="s">
        <v>375</v>
      </c>
      <c r="DE65" s="69" t="str">
        <f t="shared" si="68"/>
        <v>PTTB</v>
      </c>
      <c r="DF65" s="13"/>
      <c r="DG65" s="13"/>
      <c r="DH65" s="13"/>
      <c r="DI65" s="13"/>
      <c r="DK65" s="13"/>
      <c r="DL65" s="13" t="s">
        <v>991</v>
      </c>
      <c r="DM65" s="13" t="s">
        <v>84</v>
      </c>
      <c r="DR65" s="31"/>
      <c r="DS65" s="5" t="s">
        <v>1007</v>
      </c>
      <c r="DT65" s="55"/>
      <c r="DU65" s="31"/>
      <c r="DW65" t="s">
        <v>1008</v>
      </c>
      <c r="DX65" s="4" t="s">
        <v>1009</v>
      </c>
      <c r="EB65" s="13"/>
      <c r="EC65" s="16"/>
      <c r="ED65" s="26"/>
      <c r="EE65" s="26"/>
      <c r="EF65" s="24"/>
      <c r="EG65" s="24"/>
      <c r="EH65" s="24"/>
      <c r="EJ65" s="24"/>
      <c r="ES65" s="24"/>
      <c r="ET65" s="24"/>
      <c r="EU65" s="26"/>
      <c r="EX65" s="27"/>
      <c r="EY65" s="18"/>
      <c r="FA65" s="10" t="s">
        <v>657</v>
      </c>
      <c r="FB65" s="90" t="s">
        <v>800</v>
      </c>
      <c r="FC65" s="13" t="s">
        <v>675</v>
      </c>
      <c r="FD65" t="s">
        <v>707</v>
      </c>
      <c r="FE65" t="s">
        <v>724</v>
      </c>
      <c r="FN65" t="s">
        <v>1010</v>
      </c>
      <c r="FT65" s="13">
        <f>IF(COUNTIF(Mounts,"*"&amp;FU65&amp;"*")&gt;0=TRUE,1,0)</f>
        <v>0</v>
      </c>
      <c r="FU65" t="s">
        <v>468</v>
      </c>
      <c r="FX65">
        <v>9</v>
      </c>
      <c r="FY65" s="13" t="s">
        <v>143</v>
      </c>
    </row>
    <row r="66" spans="2:181" x14ac:dyDescent="0.3">
      <c r="C66" s="173"/>
      <c r="E66" s="112"/>
      <c r="F66" s="112"/>
      <c r="G66" s="131"/>
      <c r="H66" s="1"/>
      <c r="V66" s="14"/>
      <c r="X66" s="13"/>
      <c r="Y66" s="13"/>
      <c r="Z66" s="13"/>
      <c r="AA66" s="13"/>
      <c r="AB66" s="13"/>
      <c r="AC66" s="13"/>
      <c r="AD66" s="13"/>
      <c r="AG66" s="56" t="s">
        <v>214</v>
      </c>
      <c r="AH66" s="66" t="s">
        <v>1011</v>
      </c>
      <c r="AI66" s="26" t="s">
        <v>154</v>
      </c>
      <c r="AJ66" s="104" t="s">
        <v>266</v>
      </c>
      <c r="AK66" s="105" t="s">
        <v>617</v>
      </c>
      <c r="AL66" s="6"/>
      <c r="AM66" s="6"/>
      <c r="AN66" s="6"/>
      <c r="AO66" s="6"/>
      <c r="AP66" s="6"/>
      <c r="AQ66" s="6"/>
      <c r="AR66" s="6"/>
      <c r="AT66" s="90" t="s">
        <v>1012</v>
      </c>
      <c r="AU66" s="15">
        <f t="shared" si="87"/>
        <v>296</v>
      </c>
      <c r="AV66" s="15">
        <f t="shared" si="87"/>
        <v>296</v>
      </c>
      <c r="AW66" s="15">
        <f t="shared" si="87"/>
        <v>296</v>
      </c>
      <c r="AX66" s="15">
        <f t="shared" si="87"/>
        <v>0</v>
      </c>
      <c r="AY66" s="15">
        <f t="shared" si="87"/>
        <v>0</v>
      </c>
      <c r="AZ66" s="15">
        <f t="shared" si="87"/>
        <v>152</v>
      </c>
      <c r="BA66" s="15">
        <f t="shared" si="87"/>
        <v>0</v>
      </c>
      <c r="BB66" s="15">
        <f t="shared" si="87"/>
        <v>0</v>
      </c>
      <c r="BC66" s="15">
        <f t="shared" si="87"/>
        <v>0</v>
      </c>
      <c r="BD66" s="15">
        <f t="shared" si="87"/>
        <v>0</v>
      </c>
      <c r="BE66" s="15">
        <f t="shared" si="87"/>
        <v>0</v>
      </c>
      <c r="BF66" s="15">
        <f t="shared" si="87"/>
        <v>0</v>
      </c>
      <c r="BG66" s="6"/>
      <c r="BH66" s="6"/>
      <c r="BN66" s="11"/>
      <c r="BO66" s="11"/>
      <c r="BP66" s="4"/>
      <c r="BQ66" s="4"/>
      <c r="BS66" s="4"/>
      <c r="BT66" s="71"/>
      <c r="BV66" s="6" t="str">
        <f t="shared" si="83"/>
        <v>Legacy Maple 15x16 Tom Tom</v>
      </c>
      <c r="BW66" s="4" t="s">
        <v>863</v>
      </c>
      <c r="BX66" s="67"/>
      <c r="BY66" s="4"/>
      <c r="BZ66" s="6" t="str">
        <f t="shared" si="84"/>
        <v>Legacy Mahogany 15x16 Tom Tom</v>
      </c>
      <c r="CA66" s="4" t="s">
        <v>863</v>
      </c>
      <c r="CB66" s="67"/>
      <c r="CC66" s="4"/>
      <c r="CD66" s="6" t="str">
        <f t="shared" si="85"/>
        <v>Legacy Exotic 15x16 Tom Tom</v>
      </c>
      <c r="CE66" s="4" t="s">
        <v>863</v>
      </c>
      <c r="CF66" s="70"/>
      <c r="CG66" s="70"/>
      <c r="CH66" s="70"/>
      <c r="CI66" s="70"/>
      <c r="CJ66" s="4"/>
      <c r="CK66" s="90"/>
      <c r="CL66" s="157"/>
      <c r="CM66" s="157"/>
      <c r="CN66" s="157"/>
      <c r="CO66" s="157"/>
      <c r="CP66" s="157"/>
      <c r="CQ66" s="157"/>
      <c r="CT66" s="157"/>
      <c r="CU66" s="4">
        <f t="shared" si="76"/>
        <v>0</v>
      </c>
      <c r="CV66" s="109" t="e">
        <v>#N/A</v>
      </c>
      <c r="CW66" s="93" t="s">
        <v>1013</v>
      </c>
      <c r="CX66" s="93" t="s">
        <v>1014</v>
      </c>
      <c r="CY66" s="93" t="s">
        <v>1015</v>
      </c>
      <c r="CZ66" s="109" t="e">
        <v>#N/A</v>
      </c>
      <c r="DA66" s="70"/>
      <c r="DB66" s="13" t="s">
        <v>55</v>
      </c>
      <c r="DC66" s="16" t="str">
        <f t="shared" si="2"/>
        <v>Snare.5x14 8 Lug Snare</v>
      </c>
      <c r="DD66" s="4" t="s">
        <v>455</v>
      </c>
      <c r="DE66" s="69" t="str">
        <f t="shared" si="68"/>
        <v>SISTTB</v>
      </c>
      <c r="DF66" s="13"/>
      <c r="DG66" s="13"/>
      <c r="DH66" s="13"/>
      <c r="DI66" s="13"/>
      <c r="DK66" s="13" t="s">
        <v>82</v>
      </c>
      <c r="DL66" s="13" t="s">
        <v>83</v>
      </c>
      <c r="DM66" s="13" t="s">
        <v>84</v>
      </c>
      <c r="DR66" s="31"/>
      <c r="DS66" s="4" t="s">
        <v>656</v>
      </c>
      <c r="DT66" s="55" t="s">
        <v>1016</v>
      </c>
      <c r="DU66" s="31"/>
      <c r="DW66" t="s">
        <v>436</v>
      </c>
      <c r="DX66" s="4"/>
      <c r="EB66" s="13"/>
      <c r="EC66" s="16"/>
      <c r="ED66" s="26"/>
      <c r="EE66" s="26"/>
      <c r="EF66" s="24"/>
      <c r="EG66" s="24"/>
      <c r="EH66" s="24"/>
      <c r="EJ66" s="24"/>
      <c r="ES66" s="24"/>
      <c r="ET66" s="24"/>
      <c r="EU66" s="26"/>
      <c r="EX66" s="27"/>
      <c r="EY66" s="18"/>
      <c r="FA66" s="10" t="s">
        <v>657</v>
      </c>
      <c r="FB66" s="90" t="s">
        <v>821</v>
      </c>
      <c r="FC66" t="s">
        <v>707</v>
      </c>
      <c r="FD66" t="s">
        <v>724</v>
      </c>
    </row>
    <row r="67" spans="2:181" x14ac:dyDescent="0.3">
      <c r="B67" s="173"/>
      <c r="C67" s="173"/>
      <c r="D67" s="173"/>
      <c r="E67" s="112"/>
      <c r="F67" s="8"/>
      <c r="G67" s="200"/>
      <c r="H67" s="1"/>
      <c r="T67" s="173"/>
      <c r="V67" s="14"/>
      <c r="W67" s="13"/>
      <c r="X67" s="13"/>
      <c r="Y67" s="13"/>
      <c r="Z67" s="13"/>
      <c r="AA67" s="13"/>
      <c r="AB67" s="13"/>
      <c r="AC67" s="13"/>
      <c r="AD67" s="13"/>
      <c r="AG67" s="56" t="s">
        <v>361</v>
      </c>
      <c r="AH67" s="66" t="s">
        <v>1011</v>
      </c>
      <c r="AI67" s="26" t="s">
        <v>154</v>
      </c>
      <c r="AJ67" s="104" t="s">
        <v>266</v>
      </c>
      <c r="AK67" s="105" t="s">
        <v>617</v>
      </c>
      <c r="AL67" s="6"/>
      <c r="AM67" s="6"/>
      <c r="AN67" s="6"/>
      <c r="AO67" s="6"/>
      <c r="AP67" s="6"/>
      <c r="AQ67" s="6"/>
      <c r="AR67" s="6"/>
      <c r="AT67" s="90" t="s">
        <v>1017</v>
      </c>
      <c r="AU67" s="15">
        <f t="shared" si="87"/>
        <v>223</v>
      </c>
      <c r="AV67" s="15">
        <f t="shared" si="87"/>
        <v>223</v>
      </c>
      <c r="AW67" s="15">
        <f t="shared" si="87"/>
        <v>223</v>
      </c>
      <c r="AX67" s="15">
        <f t="shared" si="87"/>
        <v>0</v>
      </c>
      <c r="AY67" s="15">
        <f t="shared" si="87"/>
        <v>0</v>
      </c>
      <c r="AZ67" s="15">
        <f t="shared" si="87"/>
        <v>400</v>
      </c>
      <c r="BA67" s="15">
        <f t="shared" si="87"/>
        <v>0</v>
      </c>
      <c r="BB67" s="15">
        <f t="shared" si="87"/>
        <v>0</v>
      </c>
      <c r="BC67" s="15">
        <f t="shared" si="87"/>
        <v>0</v>
      </c>
      <c r="BD67" s="15">
        <f t="shared" si="87"/>
        <v>0</v>
      </c>
      <c r="BE67" s="15">
        <f t="shared" si="87"/>
        <v>0</v>
      </c>
      <c r="BF67" s="15">
        <f t="shared" si="87"/>
        <v>0</v>
      </c>
      <c r="BG67" s="6"/>
      <c r="BH67" s="6"/>
      <c r="BN67" s="11"/>
      <c r="BO67" s="11"/>
      <c r="BV67" s="6" t="str">
        <f t="shared" si="83"/>
        <v>Legacy Maple 16x16 Tom Tom</v>
      </c>
      <c r="BW67" s="4" t="s">
        <v>871</v>
      </c>
      <c r="BX67" s="67"/>
      <c r="BZ67" s="6" t="str">
        <f t="shared" si="84"/>
        <v>Legacy Mahogany 16x16 Tom Tom</v>
      </c>
      <c r="CA67" s="4" t="s">
        <v>871</v>
      </c>
      <c r="CB67" s="67"/>
      <c r="CC67" s="4"/>
      <c r="CD67" s="6" t="str">
        <f t="shared" si="85"/>
        <v>Legacy Exotic 16x16 Tom Tom</v>
      </c>
      <c r="CE67" s="4" t="s">
        <v>871</v>
      </c>
      <c r="CF67" s="70"/>
      <c r="CG67" s="70"/>
      <c r="CH67" s="70"/>
      <c r="CI67" s="70"/>
      <c r="CJ67" s="4"/>
      <c r="CK67" s="90"/>
      <c r="CL67" s="157"/>
      <c r="CM67" s="157"/>
      <c r="CN67" s="157"/>
      <c r="CO67" s="157"/>
      <c r="CP67" s="157"/>
      <c r="CQ67" s="157"/>
      <c r="CT67" s="157"/>
      <c r="CU67" s="4">
        <f t="shared" si="76"/>
        <v>0</v>
      </c>
      <c r="CV67" s="93" t="s">
        <v>1018</v>
      </c>
      <c r="CW67" s="93" t="s">
        <v>1019</v>
      </c>
      <c r="CX67" s="93" t="s">
        <v>1020</v>
      </c>
      <c r="CY67" s="93" t="s">
        <v>1021</v>
      </c>
      <c r="CZ67" s="93" t="s">
        <v>1022</v>
      </c>
      <c r="DB67" s="13" t="s">
        <v>55</v>
      </c>
      <c r="DC67" s="16" t="str">
        <f t="shared" si="2"/>
        <v>Snare.5x14 Snare</v>
      </c>
      <c r="DD67" s="4" t="s">
        <v>394</v>
      </c>
      <c r="DE67" s="69" t="str">
        <f t="shared" si="68"/>
        <v>SISTTB</v>
      </c>
      <c r="DF67" s="13"/>
      <c r="DG67" s="13"/>
      <c r="DH67" s="13"/>
      <c r="DI67" s="13"/>
      <c r="DK67" s="13" t="s">
        <v>82</v>
      </c>
      <c r="DL67" s="13" t="s">
        <v>83</v>
      </c>
      <c r="DM67" s="13" t="s">
        <v>84</v>
      </c>
      <c r="DR67" s="31"/>
      <c r="DS67" s="4" t="s">
        <v>674</v>
      </c>
      <c r="DT67" s="55" t="s">
        <v>1016</v>
      </c>
      <c r="DU67" s="31"/>
      <c r="DW67" t="s">
        <v>452</v>
      </c>
      <c r="DX67" s="4"/>
      <c r="EB67" s="13"/>
      <c r="EC67" s="16"/>
      <c r="ED67" s="26"/>
      <c r="EE67" s="26"/>
      <c r="EF67" s="24"/>
      <c r="EG67" s="24"/>
      <c r="EH67" s="24"/>
      <c r="EJ67" s="24"/>
      <c r="ES67" s="24"/>
      <c r="ET67" s="24"/>
      <c r="EU67" s="26"/>
      <c r="EX67" s="27"/>
      <c r="EY67" s="18"/>
      <c r="FA67"/>
      <c r="FB67" s="34"/>
      <c r="FM67" t="s">
        <v>1023</v>
      </c>
      <c r="FN67" t="s">
        <v>1024</v>
      </c>
      <c r="FY67" s="13"/>
    </row>
    <row r="68" spans="2:181" x14ac:dyDescent="0.3">
      <c r="C68" s="173"/>
      <c r="E68" s="112"/>
      <c r="F68" s="112"/>
      <c r="G68" s="131"/>
      <c r="H68" s="4"/>
      <c r="S68" s="11" t="s">
        <v>1025</v>
      </c>
      <c r="V68" s="14"/>
      <c r="W68" s="14"/>
      <c r="X68" s="13"/>
      <c r="Y68" s="13"/>
      <c r="Z68" s="13"/>
      <c r="AA68" s="13"/>
      <c r="AB68" s="13"/>
      <c r="AC68" s="13"/>
      <c r="AD68" s="13"/>
      <c r="AG68" s="56" t="s">
        <v>584</v>
      </c>
      <c r="AH68" s="66" t="s">
        <v>1011</v>
      </c>
      <c r="AI68" s="26" t="s">
        <v>154</v>
      </c>
      <c r="AJ68" s="104" t="s">
        <v>266</v>
      </c>
      <c r="AK68" s="105" t="s">
        <v>617</v>
      </c>
      <c r="AL68" s="6"/>
      <c r="AM68" s="6"/>
      <c r="AN68" s="6"/>
      <c r="AO68" s="6"/>
      <c r="AP68" s="6"/>
      <c r="AQ68" s="6"/>
      <c r="AR68" s="6"/>
      <c r="AT68" s="90" t="s">
        <v>1026</v>
      </c>
      <c r="AU68" s="15">
        <f t="shared" si="87"/>
        <v>75</v>
      </c>
      <c r="AV68" s="15">
        <f t="shared" si="87"/>
        <v>75</v>
      </c>
      <c r="AW68" s="15">
        <f t="shared" si="87"/>
        <v>75</v>
      </c>
      <c r="AX68" s="15">
        <f t="shared" si="87"/>
        <v>0</v>
      </c>
      <c r="AY68" s="15">
        <f t="shared" si="87"/>
        <v>0</v>
      </c>
      <c r="AZ68" s="15">
        <f t="shared" si="87"/>
        <v>400</v>
      </c>
      <c r="BA68" s="15">
        <f t="shared" si="87"/>
        <v>0</v>
      </c>
      <c r="BB68" s="15">
        <f t="shared" si="87"/>
        <v>0</v>
      </c>
      <c r="BC68" s="15">
        <f t="shared" si="87"/>
        <v>0</v>
      </c>
      <c r="BD68" s="15">
        <f t="shared" si="87"/>
        <v>0</v>
      </c>
      <c r="BE68" s="15">
        <f t="shared" si="87"/>
        <v>0</v>
      </c>
      <c r="BF68" s="15">
        <f t="shared" si="87"/>
        <v>0</v>
      </c>
      <c r="BG68" s="6"/>
      <c r="BH68" s="6"/>
      <c r="BN68" s="11"/>
      <c r="BO68" s="11"/>
      <c r="BP68" s="11"/>
      <c r="BQ68" s="11"/>
      <c r="CB68" s="10"/>
      <c r="CJ68" s="11"/>
      <c r="CK68" s="90"/>
      <c r="CU68" s="11"/>
      <c r="DB68" s="13" t="s">
        <v>55</v>
      </c>
      <c r="DC68" s="16" t="str">
        <f t="shared" si="2"/>
        <v>Snare.5.5x14 Snare</v>
      </c>
      <c r="DD68" s="11" t="s">
        <v>833</v>
      </c>
      <c r="DE68" s="69" t="str">
        <f t="shared" si="68"/>
        <v>SISTTB</v>
      </c>
      <c r="DK68" s="13" t="s">
        <v>82</v>
      </c>
      <c r="DL68" s="13" t="s">
        <v>83</v>
      </c>
      <c r="DM68" s="13" t="s">
        <v>84</v>
      </c>
      <c r="DR68" s="31"/>
      <c r="DS68" s="4" t="s">
        <v>1027</v>
      </c>
      <c r="DT68" s="55" t="s">
        <v>1028</v>
      </c>
      <c r="DU68" s="31"/>
      <c r="DW68" t="s">
        <v>501</v>
      </c>
      <c r="DX68" s="4"/>
      <c r="EB68" s="13"/>
      <c r="EC68" s="16"/>
      <c r="ED68" s="26"/>
      <c r="EE68" s="26"/>
      <c r="EF68" s="24"/>
      <c r="EG68" s="24"/>
      <c r="EH68" s="24"/>
      <c r="EJ68" s="24"/>
      <c r="ES68" s="24"/>
      <c r="ET68" s="24"/>
      <c r="EU68" s="26"/>
      <c r="EX68" s="27"/>
      <c r="EY68" s="18"/>
      <c r="FA68"/>
      <c r="FB68" s="34"/>
      <c r="FN68" t="s">
        <v>1029</v>
      </c>
      <c r="FY68" s="13"/>
    </row>
    <row r="69" spans="2:181" x14ac:dyDescent="0.3">
      <c r="C69" s="173"/>
      <c r="E69" s="112"/>
      <c r="F69" s="112"/>
      <c r="G69" s="131"/>
      <c r="H69" s="4"/>
      <c r="S69" s="11" t="s">
        <v>1030</v>
      </c>
      <c r="W69" s="14"/>
      <c r="X69" s="14"/>
      <c r="AG69" s="56" t="s">
        <v>459</v>
      </c>
      <c r="AH69" s="66" t="s">
        <v>377</v>
      </c>
      <c r="AI69" s="26" t="s">
        <v>154</v>
      </c>
      <c r="AJ69" s="26" t="s">
        <v>391</v>
      </c>
      <c r="AK69" s="105" t="s">
        <v>617</v>
      </c>
      <c r="AL69" s="6"/>
      <c r="AM69" s="6"/>
      <c r="AN69" s="6"/>
      <c r="AO69" s="6"/>
      <c r="AP69" s="6"/>
      <c r="AQ69" s="6"/>
      <c r="AR69" s="6"/>
      <c r="AT69" s="90" t="s">
        <v>1031</v>
      </c>
      <c r="AU69" s="15">
        <f t="shared" ref="AU69:BF75" si="88">IFERROR(INDEX($AT$81:$BA$972,MATCH(CONCATENATE($AT69,".",AU$3),$AT$81:$AT$972,0),6),9999)</f>
        <v>9999</v>
      </c>
      <c r="AV69" s="15">
        <f t="shared" si="88"/>
        <v>9999</v>
      </c>
      <c r="AW69" s="15">
        <f t="shared" si="88"/>
        <v>9999</v>
      </c>
      <c r="AX69" s="15">
        <f t="shared" si="88"/>
        <v>9999</v>
      </c>
      <c r="AY69" s="15">
        <f t="shared" si="88"/>
        <v>9999</v>
      </c>
      <c r="AZ69" s="15">
        <f t="shared" si="88"/>
        <v>9999</v>
      </c>
      <c r="BA69" s="15">
        <f t="shared" si="88"/>
        <v>9999</v>
      </c>
      <c r="BB69" s="15">
        <f t="shared" si="88"/>
        <v>9999</v>
      </c>
      <c r="BC69" s="15">
        <f t="shared" si="88"/>
        <v>9999</v>
      </c>
      <c r="BD69" s="15">
        <f t="shared" si="88"/>
        <v>9999</v>
      </c>
      <c r="BE69" s="15">
        <f t="shared" si="88"/>
        <v>9999</v>
      </c>
      <c r="BF69" s="15">
        <f t="shared" si="88"/>
        <v>9999</v>
      </c>
      <c r="BG69" s="6"/>
      <c r="BH69" s="6"/>
      <c r="BN69" s="13"/>
      <c r="BO69" s="13"/>
      <c r="BP69" s="11"/>
      <c r="BQ69" s="11"/>
      <c r="BR69" s="15" t="s">
        <v>60</v>
      </c>
      <c r="BS69" s="5" t="s">
        <v>1032</v>
      </c>
      <c r="BT69" s="4"/>
      <c r="BU69" t="s">
        <v>32</v>
      </c>
      <c r="BV69" s="8" t="s">
        <v>60</v>
      </c>
      <c r="BW69" s="2" t="s">
        <v>1033</v>
      </c>
      <c r="BZ69" s="8" t="s">
        <v>60</v>
      </c>
      <c r="CA69" s="2" t="s">
        <v>1034</v>
      </c>
      <c r="CD69" s="8" t="s">
        <v>60</v>
      </c>
      <c r="CE69" s="2" t="s">
        <v>1035</v>
      </c>
      <c r="CG69" s="8" t="s">
        <v>60</v>
      </c>
      <c r="CH69" s="2" t="s">
        <v>1036</v>
      </c>
      <c r="CJ69" s="11"/>
      <c r="CK69" s="90"/>
      <c r="CU69" s="11"/>
      <c r="DA69" s="70"/>
      <c r="DB69" s="13" t="s">
        <v>55</v>
      </c>
      <c r="DC69" s="16" t="str">
        <f t="shared" si="2"/>
        <v>Snare.5.5x14 8 Lug Snare</v>
      </c>
      <c r="DD69" s="11" t="s">
        <v>288</v>
      </c>
      <c r="DE69" s="69" t="str">
        <f t="shared" si="68"/>
        <v>SISTTB</v>
      </c>
      <c r="DK69" s="13" t="s">
        <v>82</v>
      </c>
      <c r="DL69" s="13" t="s">
        <v>83</v>
      </c>
      <c r="DM69" s="13" t="s">
        <v>84</v>
      </c>
      <c r="DR69" s="31"/>
      <c r="DS69" s="4" t="s">
        <v>1037</v>
      </c>
      <c r="DT69" s="55" t="s">
        <v>1028</v>
      </c>
      <c r="DX69" s="4"/>
      <c r="EB69" s="13"/>
      <c r="EC69" s="16"/>
      <c r="ED69" s="26"/>
      <c r="EE69" s="26"/>
      <c r="EF69" s="24"/>
      <c r="EG69" s="24"/>
      <c r="EH69" s="24"/>
      <c r="ES69" s="24"/>
      <c r="ET69" s="24"/>
      <c r="EU69" s="26"/>
      <c r="EX69" s="27"/>
      <c r="EY69" s="18"/>
      <c r="FA69"/>
      <c r="FB69" s="34"/>
      <c r="FY69" s="13"/>
    </row>
    <row r="70" spans="2:181" x14ac:dyDescent="0.3">
      <c r="E70" s="29"/>
      <c r="F70" s="29"/>
      <c r="G70" s="135"/>
      <c r="H70" s="4"/>
      <c r="S70" s="11" t="s">
        <v>1038</v>
      </c>
      <c r="W70" s="14"/>
      <c r="AG70" s="56" t="s">
        <v>618</v>
      </c>
      <c r="AH70" s="66" t="s">
        <v>377</v>
      </c>
      <c r="AI70" s="26" t="s">
        <v>374</v>
      </c>
      <c r="AJ70" s="104" t="s">
        <v>265</v>
      </c>
      <c r="AK70" s="105" t="s">
        <v>617</v>
      </c>
      <c r="AL70" s="6"/>
      <c r="AM70" s="6"/>
      <c r="AN70" s="6"/>
      <c r="AO70" s="6"/>
      <c r="AP70" s="6"/>
      <c r="AQ70" s="6"/>
      <c r="AR70" s="6"/>
      <c r="AT70" s="90" t="s">
        <v>1039</v>
      </c>
      <c r="AU70" s="15">
        <f t="shared" si="88"/>
        <v>95</v>
      </c>
      <c r="AV70" s="15">
        <f t="shared" si="88"/>
        <v>95</v>
      </c>
      <c r="AW70" s="15">
        <f t="shared" si="88"/>
        <v>95</v>
      </c>
      <c r="AX70" s="15">
        <f t="shared" si="88"/>
        <v>0</v>
      </c>
      <c r="AY70" s="15">
        <f t="shared" si="88"/>
        <v>0</v>
      </c>
      <c r="AZ70" s="15">
        <f t="shared" si="88"/>
        <v>313</v>
      </c>
      <c r="BA70" s="15">
        <f t="shared" si="88"/>
        <v>0</v>
      </c>
      <c r="BB70" s="15">
        <f t="shared" si="88"/>
        <v>0</v>
      </c>
      <c r="BC70" s="15">
        <f t="shared" si="88"/>
        <v>0</v>
      </c>
      <c r="BD70" s="15">
        <f t="shared" si="88"/>
        <v>0</v>
      </c>
      <c r="BE70" s="15">
        <f t="shared" si="88"/>
        <v>0</v>
      </c>
      <c r="BF70" s="15">
        <f t="shared" si="88"/>
        <v>0</v>
      </c>
      <c r="BG70" s="6"/>
      <c r="BH70" s="6"/>
      <c r="BN70" s="13"/>
      <c r="BO70" s="13"/>
      <c r="BP70" s="4" t="s">
        <v>322</v>
      </c>
      <c r="BQ70" s="4"/>
      <c r="BR70" s="6" t="str">
        <f t="shared" ref="BR70:BR74" si="89">$BS$1&amp;" "&amp;BS70</f>
        <v>Classic Maple 6x12 Snare</v>
      </c>
      <c r="BS70" s="4" t="s">
        <v>322</v>
      </c>
      <c r="BT70" s="71"/>
      <c r="BU70" s="4"/>
      <c r="BV70" s="6" t="str">
        <f t="shared" ref="BV70:BV72" si="90">BW$1&amp;" "&amp;BW70</f>
        <v>Legacy Maple 6x12 Snare</v>
      </c>
      <c r="BW70" s="4" t="s">
        <v>322</v>
      </c>
      <c r="BX70" s="67"/>
      <c r="BY70" s="4"/>
      <c r="BZ70" s="6" t="str">
        <f t="shared" ref="BZ70:BZ72" si="91">CA$1&amp;" "&amp;CA70</f>
        <v>Legacy Mahogany 6x12 Snare</v>
      </c>
      <c r="CA70" s="4" t="s">
        <v>322</v>
      </c>
      <c r="CB70" s="67"/>
      <c r="CC70" s="4"/>
      <c r="CD70" s="6" t="str">
        <f t="shared" ref="CD70:CD72" si="92">CE$1&amp;" "&amp;CE70</f>
        <v>Legacy Exotic 6x12 Snare</v>
      </c>
      <c r="CE70" s="4" t="s">
        <v>322</v>
      </c>
      <c r="CF70" s="70"/>
      <c r="CG70" s="6" t="str">
        <f t="shared" ref="CG70:CG79" si="93">CH$1&amp;" "&amp;CH70</f>
        <v>Classic Oak 6x12 Snare</v>
      </c>
      <c r="CH70" s="4" t="s">
        <v>322</v>
      </c>
      <c r="CI70" s="70"/>
      <c r="CJ70" s="4"/>
      <c r="CK70" s="90"/>
      <c r="CL70" s="157"/>
      <c r="CM70" s="157"/>
      <c r="CN70" s="157"/>
      <c r="CO70" s="157"/>
      <c r="CP70" s="157"/>
      <c r="CU70" s="4">
        <f t="shared" ref="CU70:CU74" si="94">CJ70</f>
        <v>0</v>
      </c>
      <c r="CV70" s="93" t="s">
        <v>1040</v>
      </c>
      <c r="CW70" s="93" t="s">
        <v>1041</v>
      </c>
      <c r="CX70" s="93" t="s">
        <v>1042</v>
      </c>
      <c r="CY70" s="93" t="s">
        <v>1043</v>
      </c>
      <c r="CZ70" s="93" t="s">
        <v>1044</v>
      </c>
      <c r="DA70" s="70"/>
      <c r="DB70" s="13" t="s">
        <v>55</v>
      </c>
      <c r="DC70" s="16" t="str">
        <f t="shared" ref="DC70:DC74" si="95">CONCATENATE(DB70,".",DD70)</f>
        <v>Snare.6.5x14 8 Lug Snare</v>
      </c>
      <c r="DD70" s="4" t="s">
        <v>470</v>
      </c>
      <c r="DE70" s="69" t="str">
        <f>CONCATENATE(DF70,DG70,DH70,DI70,DJ70,DK70,DL70,DM70)</f>
        <v>MLLTSISTTB</v>
      </c>
      <c r="DF70" s="13" t="s">
        <v>78</v>
      </c>
      <c r="DG70" s="13"/>
      <c r="DH70" s="13"/>
      <c r="DI70" s="13"/>
      <c r="DJ70" s="13" t="s">
        <v>81</v>
      </c>
      <c r="DK70" s="13" t="s">
        <v>82</v>
      </c>
      <c r="DL70" s="13" t="s">
        <v>83</v>
      </c>
      <c r="DM70" s="13" t="s">
        <v>84</v>
      </c>
      <c r="DR70" s="31"/>
      <c r="DS70" s="4" t="s">
        <v>689</v>
      </c>
      <c r="DT70" s="55" t="s">
        <v>1028</v>
      </c>
      <c r="DX70" s="4"/>
      <c r="EB70" s="13"/>
      <c r="EC70" s="16"/>
      <c r="ED70" s="26"/>
      <c r="EE70" s="26"/>
      <c r="EF70" s="24"/>
      <c r="EG70" s="24"/>
      <c r="EH70" s="24"/>
      <c r="EI70" s="24"/>
      <c r="EJ70" s="24"/>
      <c r="ES70" s="24"/>
      <c r="ET70" s="24"/>
      <c r="EU70" s="26"/>
      <c r="EX70" s="27"/>
      <c r="EY70" s="18"/>
      <c r="FA70"/>
      <c r="FB70" s="34"/>
      <c r="FY70" s="13"/>
    </row>
    <row r="71" spans="2:181" x14ac:dyDescent="0.3">
      <c r="C71" s="173"/>
      <c r="E71" s="29"/>
      <c r="F71" s="29"/>
      <c r="G71" s="29"/>
      <c r="H71" s="4"/>
      <c r="S71" s="11" t="s">
        <v>1045</v>
      </c>
      <c r="W71" s="14"/>
      <c r="X71" s="13"/>
      <c r="Y71" s="7"/>
      <c r="Z71" s="7"/>
      <c r="AA71" s="7"/>
      <c r="AB71" s="7"/>
      <c r="AC71" s="7"/>
      <c r="AD71" s="7"/>
      <c r="AG71" s="56" t="s">
        <v>572</v>
      </c>
      <c r="AH71" s="66" t="s">
        <v>377</v>
      </c>
      <c r="AI71" s="26" t="s">
        <v>154</v>
      </c>
      <c r="AJ71" s="26" t="s">
        <v>391</v>
      </c>
      <c r="AK71" s="105" t="s">
        <v>617</v>
      </c>
      <c r="AL71" s="6"/>
      <c r="AM71" s="6"/>
      <c r="AN71" s="6"/>
      <c r="AO71" s="6"/>
      <c r="AP71" s="6"/>
      <c r="AQ71" s="6"/>
      <c r="AR71" s="6"/>
      <c r="AT71" s="90" t="s">
        <v>1046</v>
      </c>
      <c r="AU71" s="15">
        <f t="shared" si="88"/>
        <v>80</v>
      </c>
      <c r="AV71" s="15">
        <f t="shared" si="88"/>
        <v>80</v>
      </c>
      <c r="AW71" s="15">
        <f t="shared" si="88"/>
        <v>80</v>
      </c>
      <c r="AX71" s="15">
        <f t="shared" si="88"/>
        <v>0</v>
      </c>
      <c r="AY71" s="15">
        <f t="shared" si="88"/>
        <v>0</v>
      </c>
      <c r="AZ71" s="15">
        <f t="shared" si="88"/>
        <v>292</v>
      </c>
      <c r="BA71" s="15">
        <f t="shared" si="88"/>
        <v>0</v>
      </c>
      <c r="BB71" s="15">
        <f t="shared" si="88"/>
        <v>0</v>
      </c>
      <c r="BC71" s="15">
        <f t="shared" si="88"/>
        <v>0</v>
      </c>
      <c r="BD71" s="15">
        <f t="shared" si="88"/>
        <v>0</v>
      </c>
      <c r="BE71" s="15">
        <f t="shared" si="88"/>
        <v>0</v>
      </c>
      <c r="BF71" s="15">
        <f t="shared" si="88"/>
        <v>0</v>
      </c>
      <c r="BG71" s="6"/>
      <c r="BH71" s="6"/>
      <c r="BN71" s="13"/>
      <c r="BO71" s="13"/>
      <c r="BP71" s="4" t="s">
        <v>340</v>
      </c>
      <c r="BQ71" s="4"/>
      <c r="BR71" s="6" t="str">
        <f t="shared" si="89"/>
        <v>Classic Maple 3.5x13 Snare</v>
      </c>
      <c r="BS71" s="4" t="s">
        <v>340</v>
      </c>
      <c r="BT71" s="71"/>
      <c r="BU71" s="4"/>
      <c r="BV71" s="6" t="str">
        <f t="shared" si="90"/>
        <v>Legacy Maple 6x13 Snare</v>
      </c>
      <c r="BW71" s="4" t="s">
        <v>357</v>
      </c>
      <c r="BX71" s="67"/>
      <c r="BY71" s="4"/>
      <c r="BZ71" s="6" t="str">
        <f t="shared" si="91"/>
        <v>Legacy Mahogany 6x13 Snare</v>
      </c>
      <c r="CA71" s="4" t="s">
        <v>357</v>
      </c>
      <c r="CB71" s="67"/>
      <c r="CC71" s="4"/>
      <c r="CD71" s="6" t="str">
        <f t="shared" si="92"/>
        <v>Legacy Exotic 6x13 Snare</v>
      </c>
      <c r="CE71" s="4" t="s">
        <v>357</v>
      </c>
      <c r="CF71" s="70"/>
      <c r="CG71" s="6" t="str">
        <f t="shared" si="93"/>
        <v>Classic Oak 3.5x13 Snare</v>
      </c>
      <c r="CH71" s="4" t="s">
        <v>340</v>
      </c>
      <c r="CI71" s="70"/>
      <c r="CJ71" s="4"/>
      <c r="CK71" s="90"/>
      <c r="CL71" s="157"/>
      <c r="CM71" s="157"/>
      <c r="CN71" s="157"/>
      <c r="CO71" s="157"/>
      <c r="CP71" s="157"/>
      <c r="CU71" s="4">
        <f t="shared" si="94"/>
        <v>0</v>
      </c>
      <c r="CV71" s="93" t="s">
        <v>1047</v>
      </c>
      <c r="CW71" s="109" t="e">
        <v>#N/A</v>
      </c>
      <c r="CX71" s="109" t="e">
        <v>#N/A</v>
      </c>
      <c r="CY71" s="109" t="e">
        <v>#N/A</v>
      </c>
      <c r="CZ71" s="93" t="s">
        <v>1048</v>
      </c>
      <c r="DA71" s="70"/>
      <c r="DB71" s="13" t="s">
        <v>55</v>
      </c>
      <c r="DC71" s="16" t="str">
        <f t="shared" si="95"/>
        <v>Snare.6.5x14 Snare</v>
      </c>
      <c r="DD71" s="4" t="s">
        <v>409</v>
      </c>
      <c r="DE71" s="69" t="str">
        <f>CONCATENATE(DF71,DG71,DH71,DI71,DJ71,DK71,DL71,DM71)</f>
        <v>MLLTSISTTB</v>
      </c>
      <c r="DF71" s="13" t="s">
        <v>78</v>
      </c>
      <c r="DG71" s="13"/>
      <c r="DH71" s="13"/>
      <c r="DI71" s="13"/>
      <c r="DJ71" s="13" t="s">
        <v>81</v>
      </c>
      <c r="DK71" s="13" t="s">
        <v>82</v>
      </c>
      <c r="DL71" s="13" t="s">
        <v>83</v>
      </c>
      <c r="DM71" s="13" t="s">
        <v>84</v>
      </c>
      <c r="DX71" s="4"/>
      <c r="EB71" s="13"/>
      <c r="EC71" s="16"/>
      <c r="ED71" s="26"/>
      <c r="EE71" s="26"/>
      <c r="EF71" s="24"/>
      <c r="EG71" s="24"/>
      <c r="EH71" s="24"/>
      <c r="EI71" s="18"/>
      <c r="ES71" s="24"/>
      <c r="ET71" s="24"/>
      <c r="EU71" s="26"/>
      <c r="EX71" s="27"/>
      <c r="EY71" s="18"/>
      <c r="FA71"/>
      <c r="FB71" s="34"/>
      <c r="FY71" s="13"/>
    </row>
    <row r="72" spans="2:181" x14ac:dyDescent="0.3">
      <c r="C72" s="173"/>
      <c r="E72" s="4"/>
      <c r="F72" s="4"/>
      <c r="G72" s="4"/>
      <c r="X72" s="13"/>
      <c r="Y72" s="13"/>
      <c r="Z72" s="13"/>
      <c r="AA72" s="13"/>
      <c r="AB72" s="13"/>
      <c r="AC72" s="13"/>
      <c r="AD72" s="13"/>
      <c r="AG72" s="56" t="s">
        <v>586</v>
      </c>
      <c r="AH72" s="66" t="s">
        <v>377</v>
      </c>
      <c r="AI72" s="26" t="s">
        <v>154</v>
      </c>
      <c r="AJ72" s="26" t="s">
        <v>391</v>
      </c>
      <c r="AK72" s="105" t="s">
        <v>617</v>
      </c>
      <c r="AL72" s="6"/>
      <c r="AM72" s="6"/>
      <c r="AN72" s="6"/>
      <c r="AO72" s="6"/>
      <c r="AP72" s="6"/>
      <c r="AQ72" s="6"/>
      <c r="AR72" s="6"/>
      <c r="AT72" s="90" t="s">
        <v>1049</v>
      </c>
      <c r="AU72" s="15">
        <f t="shared" si="88"/>
        <v>223</v>
      </c>
      <c r="AV72" s="15">
        <f t="shared" si="88"/>
        <v>223</v>
      </c>
      <c r="AW72" s="15">
        <f t="shared" si="88"/>
        <v>223</v>
      </c>
      <c r="AX72" s="15">
        <f t="shared" si="88"/>
        <v>0</v>
      </c>
      <c r="AY72" s="15">
        <f t="shared" si="88"/>
        <v>0</v>
      </c>
      <c r="AZ72" s="15">
        <f t="shared" si="88"/>
        <v>400</v>
      </c>
      <c r="BA72" s="15">
        <f t="shared" si="88"/>
        <v>0</v>
      </c>
      <c r="BB72" s="15">
        <f t="shared" si="88"/>
        <v>0</v>
      </c>
      <c r="BC72" s="15">
        <f t="shared" si="88"/>
        <v>0</v>
      </c>
      <c r="BD72" s="15">
        <f t="shared" si="88"/>
        <v>0</v>
      </c>
      <c r="BE72" s="15">
        <f t="shared" si="88"/>
        <v>0</v>
      </c>
      <c r="BF72" s="15">
        <f t="shared" si="88"/>
        <v>0</v>
      </c>
      <c r="BG72" s="6"/>
      <c r="BH72" s="6"/>
      <c r="BN72" s="13"/>
      <c r="BO72" s="13"/>
      <c r="BP72" s="4" t="s">
        <v>357</v>
      </c>
      <c r="BQ72" s="4"/>
      <c r="BR72" s="6" t="str">
        <f t="shared" si="89"/>
        <v>Classic Maple 6x13 Snare</v>
      </c>
      <c r="BS72" s="4" t="s">
        <v>357</v>
      </c>
      <c r="BT72" s="71"/>
      <c r="BU72" s="4"/>
      <c r="BV72" s="6" t="str">
        <f t="shared" si="90"/>
        <v>Legacy Maple 4x14 Snare</v>
      </c>
      <c r="BW72" s="4" t="s">
        <v>375</v>
      </c>
      <c r="BX72" s="67"/>
      <c r="BY72" s="4"/>
      <c r="BZ72" s="6" t="str">
        <f t="shared" si="91"/>
        <v>Legacy Mahogany 4x14 Snare</v>
      </c>
      <c r="CA72" s="4" t="s">
        <v>375</v>
      </c>
      <c r="CB72" s="67"/>
      <c r="CC72" s="4"/>
      <c r="CD72" s="6" t="str">
        <f t="shared" si="92"/>
        <v>Legacy Exotic 4x14 Snare</v>
      </c>
      <c r="CE72" s="4" t="s">
        <v>375</v>
      </c>
      <c r="CF72" s="70"/>
      <c r="CG72" s="6" t="str">
        <f t="shared" si="93"/>
        <v>Classic Oak 6x13 Snare</v>
      </c>
      <c r="CH72" s="4" t="s">
        <v>357</v>
      </c>
      <c r="CI72" s="70"/>
      <c r="CJ72" s="4"/>
      <c r="CK72" s="90"/>
      <c r="CL72" s="157"/>
      <c r="CM72" s="157"/>
      <c r="CN72" s="157"/>
      <c r="CO72" s="157"/>
      <c r="CP72" s="157"/>
      <c r="CU72" s="4">
        <f t="shared" si="94"/>
        <v>0</v>
      </c>
      <c r="CV72" s="93" t="s">
        <v>1050</v>
      </c>
      <c r="CW72" s="93" t="s">
        <v>1051</v>
      </c>
      <c r="CX72" s="93" t="s">
        <v>1052</v>
      </c>
      <c r="CY72" s="93" t="s">
        <v>1053</v>
      </c>
      <c r="CZ72" s="93" t="s">
        <v>1054</v>
      </c>
      <c r="DA72" s="70"/>
      <c r="DB72" s="13" t="s">
        <v>55</v>
      </c>
      <c r="DC72" s="16" t="str">
        <f t="shared" si="95"/>
        <v>Snare.6x12 Snare</v>
      </c>
      <c r="DD72" s="4" t="s">
        <v>322</v>
      </c>
      <c r="DE72" s="69" t="str">
        <f>CONCATENATE(DF72,DG72,DH72,DI72,DJ72,DK72,DL72,DM72)</f>
        <v>MLSISTTB</v>
      </c>
      <c r="DF72" s="13" t="s">
        <v>78</v>
      </c>
      <c r="DG72" s="13"/>
      <c r="DH72" s="13"/>
      <c r="DI72" s="13"/>
      <c r="DK72" s="13" t="s">
        <v>82</v>
      </c>
      <c r="DL72" s="13" t="s">
        <v>83</v>
      </c>
      <c r="DM72" s="13" t="s">
        <v>84</v>
      </c>
      <c r="DW72" t="s">
        <v>1055</v>
      </c>
      <c r="DX72" s="4" t="s">
        <v>1056</v>
      </c>
      <c r="EB72" s="13"/>
      <c r="EC72" s="16"/>
      <c r="ED72" s="26"/>
      <c r="EE72" s="26"/>
      <c r="EF72" s="24"/>
      <c r="EG72" s="24"/>
      <c r="EH72" s="24"/>
      <c r="EI72" s="18"/>
      <c r="ES72" s="24"/>
      <c r="ET72" s="24"/>
      <c r="EU72" s="26"/>
      <c r="EX72" s="27"/>
      <c r="EY72" s="18"/>
      <c r="FA72"/>
      <c r="FB72" s="34"/>
      <c r="FY72" s="13"/>
    </row>
    <row r="73" spans="2:181" x14ac:dyDescent="0.3">
      <c r="E73" s="4"/>
      <c r="F73" s="4"/>
      <c r="G73" s="4"/>
      <c r="S73" s="4" t="s">
        <v>1057</v>
      </c>
      <c r="T73" s="4"/>
      <c r="U73" s="4"/>
      <c r="W73" s="13"/>
      <c r="X73" s="13"/>
      <c r="Y73" s="13"/>
      <c r="Z73" s="13"/>
      <c r="AA73" s="13"/>
      <c r="AB73" s="13"/>
      <c r="AC73" s="13"/>
      <c r="AD73" s="13"/>
      <c r="AG73" s="56" t="s">
        <v>1058</v>
      </c>
      <c r="AH73" s="66" t="s">
        <v>113</v>
      </c>
      <c r="AI73" s="26" t="s">
        <v>114</v>
      </c>
      <c r="AJ73" s="104" t="s">
        <v>115</v>
      </c>
      <c r="AK73" s="105" t="s">
        <v>1058</v>
      </c>
      <c r="AL73" s="6"/>
      <c r="AM73" s="6"/>
      <c r="AN73" s="6"/>
      <c r="AO73" s="6"/>
      <c r="AP73" s="6"/>
      <c r="AQ73" s="6"/>
      <c r="AR73" s="6"/>
      <c r="AT73" s="90" t="s">
        <v>1059</v>
      </c>
      <c r="AU73" s="15">
        <f t="shared" si="88"/>
        <v>75</v>
      </c>
      <c r="AV73" s="15">
        <f t="shared" si="88"/>
        <v>75</v>
      </c>
      <c r="AW73" s="15">
        <f t="shared" si="88"/>
        <v>75</v>
      </c>
      <c r="AX73" s="15">
        <f t="shared" si="88"/>
        <v>0</v>
      </c>
      <c r="AY73" s="15">
        <f t="shared" si="88"/>
        <v>0</v>
      </c>
      <c r="AZ73" s="15">
        <f t="shared" si="88"/>
        <v>400</v>
      </c>
      <c r="BA73" s="15">
        <f t="shared" si="88"/>
        <v>0</v>
      </c>
      <c r="BB73" s="15">
        <f t="shared" si="88"/>
        <v>0</v>
      </c>
      <c r="BC73" s="15">
        <f t="shared" si="88"/>
        <v>0</v>
      </c>
      <c r="BD73" s="15">
        <f t="shared" si="88"/>
        <v>0</v>
      </c>
      <c r="BE73" s="15">
        <f t="shared" si="88"/>
        <v>0</v>
      </c>
      <c r="BF73" s="15">
        <f t="shared" si="88"/>
        <v>0</v>
      </c>
      <c r="BG73" s="6"/>
      <c r="BH73" s="6"/>
      <c r="BN73" s="13"/>
      <c r="BO73" s="13"/>
      <c r="BP73" s="4" t="s">
        <v>375</v>
      </c>
      <c r="BQ73" s="4"/>
      <c r="BR73" s="6" t="str">
        <f t="shared" si="89"/>
        <v>Classic Maple 4x14 Snare</v>
      </c>
      <c r="BS73" s="4" t="s">
        <v>375</v>
      </c>
      <c r="BT73" s="71"/>
      <c r="BU73" s="4"/>
      <c r="BV73" s="6" t="str">
        <f t="shared" ref="BV73" si="96">BW$1&amp;" "&amp;BW73</f>
        <v>Legacy Maple 5x14 Snare</v>
      </c>
      <c r="BW73" s="4" t="s">
        <v>394</v>
      </c>
      <c r="BX73" s="67"/>
      <c r="BY73" s="4"/>
      <c r="BZ73" s="6" t="str">
        <f t="shared" ref="BZ73" si="97">CA$1&amp;" "&amp;CA73</f>
        <v>Legacy Mahogany 5x14 Snare</v>
      </c>
      <c r="CA73" s="4" t="s">
        <v>394</v>
      </c>
      <c r="CB73" s="67"/>
      <c r="CC73" s="4"/>
      <c r="CD73" s="6" t="str">
        <f t="shared" ref="CD73" si="98">CE$1&amp;" "&amp;CE73</f>
        <v>Legacy Exotic 5x14 Snare</v>
      </c>
      <c r="CE73" s="4" t="s">
        <v>394</v>
      </c>
      <c r="CF73" s="70"/>
      <c r="CG73" s="6" t="str">
        <f t="shared" si="93"/>
        <v>Classic Oak 4x14 Snare</v>
      </c>
      <c r="CH73" s="4" t="s">
        <v>375</v>
      </c>
      <c r="CI73" s="70"/>
      <c r="CJ73" s="4"/>
      <c r="CK73" s="90"/>
      <c r="CL73" s="157"/>
      <c r="CM73" s="157"/>
      <c r="CN73" s="157"/>
      <c r="CO73" s="157"/>
      <c r="CP73" s="157"/>
      <c r="CU73" s="4">
        <f t="shared" si="94"/>
        <v>0</v>
      </c>
      <c r="CV73" s="93" t="s">
        <v>1060</v>
      </c>
      <c r="CW73" s="93" t="s">
        <v>1061</v>
      </c>
      <c r="CX73" s="93" t="s">
        <v>1062</v>
      </c>
      <c r="CY73" s="93" t="s">
        <v>1063</v>
      </c>
      <c r="CZ73" s="93" t="s">
        <v>1064</v>
      </c>
      <c r="DA73" s="70"/>
      <c r="DB73" s="13" t="s">
        <v>55</v>
      </c>
      <c r="DC73" s="16" t="str">
        <f t="shared" si="95"/>
        <v>Snare.6x13 Snare</v>
      </c>
      <c r="DD73" s="4" t="s">
        <v>357</v>
      </c>
      <c r="DE73" s="69" t="str">
        <f>CONCATENATE(DF73,DG73,DH73,DI73,DJ73,DK73,DL73,DM73)</f>
        <v>MLSISTTB</v>
      </c>
      <c r="DF73" s="13" t="s">
        <v>78</v>
      </c>
      <c r="DG73" s="13"/>
      <c r="DH73" s="13"/>
      <c r="DI73" s="13"/>
      <c r="DK73" s="13" t="s">
        <v>82</v>
      </c>
      <c r="DL73" s="13" t="s">
        <v>83</v>
      </c>
      <c r="DM73" s="13" t="s">
        <v>84</v>
      </c>
      <c r="DW73" t="s">
        <v>436</v>
      </c>
      <c r="DX73" s="4"/>
      <c r="EB73" s="13"/>
      <c r="EC73" s="16"/>
      <c r="ED73" s="26"/>
      <c r="EE73" s="26"/>
      <c r="EF73" s="24"/>
      <c r="EG73" s="24"/>
      <c r="EH73" s="24"/>
      <c r="EI73" s="18"/>
      <c r="ES73" s="24"/>
      <c r="ET73" s="24"/>
      <c r="EU73" s="26"/>
      <c r="EX73" s="27"/>
      <c r="EY73" s="18"/>
      <c r="EZ73" s="20"/>
      <c r="FA73"/>
      <c r="FY73" s="13"/>
    </row>
    <row r="74" spans="2:181" x14ac:dyDescent="0.3">
      <c r="C74" s="173"/>
      <c r="S74" s="4" t="s">
        <v>1065</v>
      </c>
      <c r="T74" s="4"/>
      <c r="U74" s="4"/>
      <c r="W74" s="14"/>
      <c r="X74" s="13"/>
      <c r="Y74" s="13"/>
      <c r="Z74" s="13"/>
      <c r="AA74" s="13"/>
      <c r="AB74" s="13"/>
      <c r="AC74" s="13"/>
      <c r="AD74" s="13"/>
      <c r="AG74" s="56" t="s">
        <v>1066</v>
      </c>
      <c r="AH74" s="66" t="s">
        <v>113</v>
      </c>
      <c r="AI74" s="26" t="s">
        <v>114</v>
      </c>
      <c r="AJ74" s="104" t="s">
        <v>115</v>
      </c>
      <c r="AK74" s="105" t="s">
        <v>1066</v>
      </c>
      <c r="AL74" s="6"/>
      <c r="AT74" s="90" t="s">
        <v>1067</v>
      </c>
      <c r="AU74" s="15">
        <f t="shared" si="88"/>
        <v>196</v>
      </c>
      <c r="AV74" s="15">
        <f t="shared" si="88"/>
        <v>196</v>
      </c>
      <c r="AW74" s="15">
        <f t="shared" si="88"/>
        <v>196</v>
      </c>
      <c r="AX74" s="15">
        <f t="shared" si="88"/>
        <v>0</v>
      </c>
      <c r="AY74" s="15">
        <f t="shared" si="88"/>
        <v>0</v>
      </c>
      <c r="AZ74" s="15">
        <f t="shared" si="88"/>
        <v>153</v>
      </c>
      <c r="BA74" s="15">
        <f t="shared" si="88"/>
        <v>0</v>
      </c>
      <c r="BB74" s="15">
        <f t="shared" si="88"/>
        <v>0</v>
      </c>
      <c r="BC74" s="15">
        <f t="shared" si="88"/>
        <v>0</v>
      </c>
      <c r="BD74" s="15">
        <f t="shared" si="88"/>
        <v>0</v>
      </c>
      <c r="BE74" s="15">
        <f t="shared" si="88"/>
        <v>0</v>
      </c>
      <c r="BF74" s="15">
        <f t="shared" si="88"/>
        <v>0</v>
      </c>
      <c r="BN74" s="13"/>
      <c r="BO74" s="13"/>
      <c r="BP74" s="4" t="s">
        <v>394</v>
      </c>
      <c r="BQ74" s="4"/>
      <c r="BR74" s="6" t="str">
        <f t="shared" si="89"/>
        <v>Classic Maple 5x14 Snare</v>
      </c>
      <c r="BS74" s="4" t="s">
        <v>394</v>
      </c>
      <c r="BT74" s="71"/>
      <c r="BU74" s="4"/>
      <c r="BV74" s="6" t="str">
        <f t="shared" ref="BV74:BV79" si="99">BW$1&amp;" "&amp;BW74</f>
        <v>Legacy Maple 6.5x14 Snare</v>
      </c>
      <c r="BW74" s="4" t="s">
        <v>409</v>
      </c>
      <c r="BX74" s="67"/>
      <c r="BY74" s="4"/>
      <c r="BZ74" s="6" t="str">
        <f t="shared" ref="BZ74:BZ79" si="100">CA$1&amp;" "&amp;CA74</f>
        <v>Legacy Mahogany 6.5x14 Snare</v>
      </c>
      <c r="CA74" s="4" t="s">
        <v>409</v>
      </c>
      <c r="CB74" s="67"/>
      <c r="CC74" s="4"/>
      <c r="CD74" s="6" t="str">
        <f t="shared" ref="CD74:CD79" si="101">CE$1&amp;" "&amp;CE74</f>
        <v>Legacy Exotic 6.5x14 Snare</v>
      </c>
      <c r="CE74" s="4" t="s">
        <v>409</v>
      </c>
      <c r="CF74" s="70"/>
      <c r="CG74" s="6" t="str">
        <f t="shared" si="93"/>
        <v>Classic Oak 5x14 Snare</v>
      </c>
      <c r="CH74" s="4" t="s">
        <v>394</v>
      </c>
      <c r="CI74" s="70"/>
      <c r="CJ74" s="4"/>
      <c r="CK74" s="90"/>
      <c r="CL74" s="157"/>
      <c r="CM74" s="157"/>
      <c r="CN74" s="157"/>
      <c r="CO74" s="157"/>
      <c r="CP74" s="157"/>
      <c r="CQ74" s="157"/>
      <c r="CR74" s="158"/>
      <c r="CS74" s="157"/>
      <c r="CT74" s="157"/>
      <c r="CU74" s="4">
        <f t="shared" si="94"/>
        <v>0</v>
      </c>
      <c r="CV74" s="93" t="s">
        <v>1068</v>
      </c>
      <c r="CW74" s="93" t="s">
        <v>1069</v>
      </c>
      <c r="CX74" s="93" t="s">
        <v>1070</v>
      </c>
      <c r="CY74" s="93" t="s">
        <v>1071</v>
      </c>
      <c r="CZ74" s="93" t="s">
        <v>1072</v>
      </c>
      <c r="DA74" s="70"/>
      <c r="DB74" s="13" t="s">
        <v>55</v>
      </c>
      <c r="DC74" s="16" t="str">
        <f t="shared" si="95"/>
        <v>Snare.8x14 Snare</v>
      </c>
      <c r="DD74" s="4" t="s">
        <v>424</v>
      </c>
      <c r="DE74" s="69" t="str">
        <f>CONCATENATE(DF74,DG74,DH74,DI74,DJ74,DK74,DL74,DM74)</f>
        <v>MLLTSI</v>
      </c>
      <c r="DF74" s="13" t="s">
        <v>78</v>
      </c>
      <c r="DG74" s="13"/>
      <c r="DH74" s="13"/>
      <c r="DI74" s="13"/>
      <c r="DJ74" s="13" t="s">
        <v>81</v>
      </c>
      <c r="DK74" s="13" t="s">
        <v>82</v>
      </c>
      <c r="DL74" s="13"/>
      <c r="DM74" s="13"/>
      <c r="DW74" t="s">
        <v>452</v>
      </c>
      <c r="DX74" s="68"/>
      <c r="EB74" s="13"/>
      <c r="EC74" s="16"/>
      <c r="EI74" s="18"/>
      <c r="EX74" s="27"/>
      <c r="EY74" s="18"/>
      <c r="EZ74" s="20"/>
      <c r="FA74"/>
      <c r="FU74" t="s">
        <v>142</v>
      </c>
      <c r="FV74" s="66"/>
      <c r="FX74" s="13">
        <v>0</v>
      </c>
      <c r="FY74" s="80" t="s">
        <v>143</v>
      </c>
    </row>
    <row r="75" spans="2:181" x14ac:dyDescent="0.3">
      <c r="C75" s="173"/>
      <c r="S75" s="4"/>
      <c r="T75" s="4" t="s">
        <v>1073</v>
      </c>
      <c r="U75" s="4"/>
      <c r="W75" s="14"/>
      <c r="X75" s="13"/>
      <c r="Y75" s="13"/>
      <c r="Z75" s="13"/>
      <c r="AA75" s="13"/>
      <c r="AB75" s="13"/>
      <c r="AC75" s="13"/>
      <c r="AD75" s="13"/>
      <c r="AG75" s="56" t="s">
        <v>1074</v>
      </c>
      <c r="AH75" s="66" t="s">
        <v>113</v>
      </c>
      <c r="AI75" s="26" t="s">
        <v>114</v>
      </c>
      <c r="AJ75" s="104" t="s">
        <v>115</v>
      </c>
      <c r="AK75" s="105" t="s">
        <v>1074</v>
      </c>
      <c r="AL75" s="6"/>
      <c r="AT75" s="90" t="s">
        <v>1075</v>
      </c>
      <c r="AU75" s="15">
        <f t="shared" si="88"/>
        <v>95</v>
      </c>
      <c r="AV75" s="15">
        <f t="shared" si="88"/>
        <v>95</v>
      </c>
      <c r="AW75" s="15">
        <f t="shared" si="88"/>
        <v>95</v>
      </c>
      <c r="AX75" s="15">
        <f t="shared" si="88"/>
        <v>0</v>
      </c>
      <c r="AY75" s="15">
        <f t="shared" si="88"/>
        <v>0</v>
      </c>
      <c r="AZ75" s="15">
        <f t="shared" si="88"/>
        <v>313</v>
      </c>
      <c r="BA75" s="15">
        <f t="shared" si="88"/>
        <v>0</v>
      </c>
      <c r="BB75" s="15">
        <f t="shared" si="88"/>
        <v>0</v>
      </c>
      <c r="BC75" s="15">
        <f t="shared" si="88"/>
        <v>0</v>
      </c>
      <c r="BD75" s="15">
        <f t="shared" si="88"/>
        <v>0</v>
      </c>
      <c r="BE75" s="15">
        <f t="shared" si="88"/>
        <v>0</v>
      </c>
      <c r="BF75" s="15">
        <f t="shared" si="88"/>
        <v>0</v>
      </c>
      <c r="BN75" s="13"/>
      <c r="BO75" s="13"/>
      <c r="BP75" s="4" t="s">
        <v>409</v>
      </c>
      <c r="BQ75" s="4"/>
      <c r="BR75" s="6" t="str">
        <f t="shared" ref="BR75:BR80" si="102">$BS$1&amp;" "&amp;BS75</f>
        <v>Classic Maple 6.5x14 Snare</v>
      </c>
      <c r="BS75" s="4" t="s">
        <v>409</v>
      </c>
      <c r="BT75" s="71"/>
      <c r="BU75" s="4"/>
      <c r="BV75" s="6" t="str">
        <f t="shared" si="99"/>
        <v>Legacy Maple 8x14 Snare</v>
      </c>
      <c r="BW75" s="4" t="s">
        <v>424</v>
      </c>
      <c r="BX75" s="67"/>
      <c r="BY75" s="4"/>
      <c r="BZ75" s="6" t="str">
        <f t="shared" si="100"/>
        <v>Legacy Mahogany 8x14 Snare</v>
      </c>
      <c r="CA75" s="4" t="s">
        <v>424</v>
      </c>
      <c r="CB75" s="67"/>
      <c r="CC75" s="4"/>
      <c r="CD75" s="6" t="str">
        <f t="shared" si="101"/>
        <v>Legacy Exotic 8x14 Snare</v>
      </c>
      <c r="CE75" s="4" t="s">
        <v>424</v>
      </c>
      <c r="CF75" s="70"/>
      <c r="CG75" s="6" t="str">
        <f t="shared" si="93"/>
        <v>Classic Oak 6.5x14 Snare</v>
      </c>
      <c r="CH75" s="4" t="s">
        <v>409</v>
      </c>
      <c r="CI75" s="70"/>
      <c r="CJ75" s="4"/>
      <c r="CK75" s="90"/>
      <c r="CL75" s="157"/>
      <c r="CM75" s="157"/>
      <c r="CN75" s="157"/>
      <c r="CO75" s="157"/>
      <c r="CP75" s="157"/>
      <c r="CQ75" s="157"/>
      <c r="CR75" s="156"/>
      <c r="CS75" s="157"/>
      <c r="CT75" s="157"/>
      <c r="CU75" s="11" t="s">
        <v>833</v>
      </c>
      <c r="CV75" s="15" t="s">
        <v>1076</v>
      </c>
      <c r="CW75" s="15" t="s">
        <v>1077</v>
      </c>
      <c r="CX75" s="15" t="s">
        <v>1078</v>
      </c>
      <c r="CY75" s="15" t="s">
        <v>1079</v>
      </c>
      <c r="CZ75" s="15" t="s">
        <v>1080</v>
      </c>
      <c r="DA75" s="70"/>
      <c r="DL75" s="13"/>
      <c r="DM75" s="13"/>
      <c r="DW75" t="s">
        <v>486</v>
      </c>
      <c r="EB75" s="13"/>
      <c r="EC75" s="16"/>
      <c r="EF75" s="19"/>
      <c r="EG75" s="18"/>
      <c r="EH75" s="18"/>
      <c r="EI75" s="18"/>
      <c r="EX75" s="27"/>
      <c r="EY75" s="18"/>
      <c r="EZ75" s="20"/>
      <c r="FA75"/>
      <c r="FU75" t="s">
        <v>1081</v>
      </c>
      <c r="FV75" s="66"/>
      <c r="FX75" s="13">
        <v>0</v>
      </c>
      <c r="FY75" s="80" t="s">
        <v>338</v>
      </c>
    </row>
    <row r="76" spans="2:181" x14ac:dyDescent="0.3">
      <c r="C76" s="173"/>
      <c r="S76" s="4" t="s">
        <v>1082</v>
      </c>
      <c r="T76" s="4"/>
      <c r="U76" s="4"/>
      <c r="W76" s="14"/>
      <c r="AB76" t="s">
        <v>1083</v>
      </c>
      <c r="AG76" s="56" t="s">
        <v>1084</v>
      </c>
      <c r="AH76" s="66" t="s">
        <v>113</v>
      </c>
      <c r="AI76" s="26" t="s">
        <v>114</v>
      </c>
      <c r="AJ76" s="104" t="s">
        <v>115</v>
      </c>
      <c r="AK76" s="105" t="s">
        <v>1084</v>
      </c>
      <c r="AL76" s="6"/>
      <c r="BN76" s="13"/>
      <c r="BO76" s="13"/>
      <c r="BP76" s="4" t="s">
        <v>424</v>
      </c>
      <c r="BQ76" s="4"/>
      <c r="BR76" s="6" t="str">
        <f t="shared" si="102"/>
        <v>Classic Maple 8x14 Snare</v>
      </c>
      <c r="BS76" s="4" t="s">
        <v>424</v>
      </c>
      <c r="BT76" s="71"/>
      <c r="BU76" s="4"/>
      <c r="BV76" s="6" t="str">
        <f t="shared" si="99"/>
        <v>Legacy Maple 4x14 8 Lug Snare</v>
      </c>
      <c r="BW76" s="4" t="s">
        <v>439</v>
      </c>
      <c r="BX76" s="67"/>
      <c r="BY76" s="4"/>
      <c r="BZ76" s="6" t="str">
        <f t="shared" si="100"/>
        <v>Legacy Mahogany 4x14 8 Lug Snare</v>
      </c>
      <c r="CA76" s="4" t="s">
        <v>439</v>
      </c>
      <c r="CB76" s="67"/>
      <c r="CC76" s="4"/>
      <c r="CD76" s="6" t="str">
        <f t="shared" si="101"/>
        <v>Legacy Exotic 4x14 8 Lug Snare</v>
      </c>
      <c r="CE76" s="4" t="s">
        <v>439</v>
      </c>
      <c r="CF76" s="70"/>
      <c r="CG76" s="6" t="str">
        <f t="shared" si="93"/>
        <v>Classic Oak 8x14 Snare</v>
      </c>
      <c r="CH76" s="4" t="s">
        <v>424</v>
      </c>
      <c r="CI76" s="70"/>
      <c r="CJ76" s="4"/>
      <c r="CK76" s="90"/>
      <c r="CL76" s="157"/>
      <c r="CM76" s="157"/>
      <c r="CN76" s="157"/>
      <c r="CO76" s="157"/>
      <c r="CP76" s="157"/>
      <c r="CQ76" s="157"/>
      <c r="CR76" s="159"/>
      <c r="CS76" s="157"/>
      <c r="CT76" s="157"/>
      <c r="CU76" s="4">
        <f>CJ76</f>
        <v>0</v>
      </c>
      <c r="CV76" s="93" t="s">
        <v>1085</v>
      </c>
      <c r="CW76" s="93" t="s">
        <v>1086</v>
      </c>
      <c r="CX76" s="93" t="s">
        <v>1087</v>
      </c>
      <c r="CY76" s="93" t="s">
        <v>1088</v>
      </c>
      <c r="CZ76" s="93" t="s">
        <v>1089</v>
      </c>
      <c r="DA76" s="66"/>
      <c r="DL76" s="13"/>
      <c r="DM76" s="13"/>
      <c r="DW76" t="s">
        <v>501</v>
      </c>
      <c r="EB76" s="13"/>
      <c r="EC76" s="16"/>
      <c r="EF76" s="19"/>
      <c r="EG76" s="18"/>
      <c r="EH76" s="18"/>
      <c r="EI76" s="20"/>
      <c r="EX76" s="27"/>
      <c r="EY76" s="18"/>
      <c r="EZ76" s="20"/>
      <c r="FA76"/>
      <c r="FU76" t="s">
        <v>1090</v>
      </c>
      <c r="FV76" s="66"/>
      <c r="FX76" s="13">
        <v>0</v>
      </c>
      <c r="FY76" s="80" t="s">
        <v>71</v>
      </c>
    </row>
    <row r="77" spans="2:181" x14ac:dyDescent="0.3">
      <c r="C77" s="173"/>
      <c r="S77" s="4"/>
      <c r="T77" s="4" t="s">
        <v>1091</v>
      </c>
      <c r="U77" s="4"/>
      <c r="W77" s="14"/>
      <c r="X77" s="13"/>
      <c r="Y77" s="13"/>
      <c r="AB77" t="e">
        <f>CONCATENATE(INDEX(AE3:AF7,MATCH(C2,AE3:AE7,0),2 ),"_Badge")</f>
        <v>#N/A</v>
      </c>
      <c r="AG77" s="56" t="s">
        <v>1092</v>
      </c>
      <c r="AH77" s="66" t="s">
        <v>113</v>
      </c>
      <c r="AI77" s="26" t="s">
        <v>114</v>
      </c>
      <c r="AJ77" s="104" t="s">
        <v>115</v>
      </c>
      <c r="AK77" s="105" t="s">
        <v>1092</v>
      </c>
      <c r="AL77" s="6"/>
      <c r="BN77" s="13"/>
      <c r="BO77" s="13"/>
      <c r="BP77" s="4" t="s">
        <v>439</v>
      </c>
      <c r="BQ77" s="4"/>
      <c r="BR77" s="6" t="str">
        <f t="shared" si="102"/>
        <v>Classic Maple 4x14 8 Lug Snare</v>
      </c>
      <c r="BS77" s="4" t="s">
        <v>439</v>
      </c>
      <c r="BT77" s="71"/>
      <c r="BU77" s="4"/>
      <c r="BV77" s="6" t="str">
        <f t="shared" si="99"/>
        <v>Legacy Maple 5x14 8 Lug Snare</v>
      </c>
      <c r="BW77" s="4" t="s">
        <v>455</v>
      </c>
      <c r="BX77" s="10"/>
      <c r="BZ77" s="6" t="str">
        <f t="shared" si="100"/>
        <v>Legacy Mahogany 5x14 8 Lug Snare</v>
      </c>
      <c r="CA77" s="4" t="s">
        <v>455</v>
      </c>
      <c r="CB77" s="10"/>
      <c r="CD77" s="6" t="str">
        <f t="shared" si="101"/>
        <v>Legacy Exotic 5x14 8 Lug Snare</v>
      </c>
      <c r="CE77" s="4" t="s">
        <v>455</v>
      </c>
      <c r="CF77" s="66"/>
      <c r="CG77" s="6" t="str">
        <f t="shared" si="93"/>
        <v>Classic Oak 4x14 8 Lug Snare</v>
      </c>
      <c r="CH77" s="4" t="s">
        <v>439</v>
      </c>
      <c r="CI77" s="70"/>
      <c r="CJ77" s="4"/>
      <c r="CK77" s="90"/>
      <c r="CL77" s="157"/>
      <c r="CM77" s="157"/>
      <c r="CN77" s="157"/>
      <c r="CO77" s="157"/>
      <c r="CP77" s="157"/>
      <c r="CQ77" s="157"/>
      <c r="CR77" s="158"/>
      <c r="CS77" s="157"/>
      <c r="CT77" s="157"/>
      <c r="CU77" s="4">
        <f>CJ77</f>
        <v>0</v>
      </c>
      <c r="CV77" s="93" t="s">
        <v>1093</v>
      </c>
      <c r="CW77" s="93" t="s">
        <v>1094</v>
      </c>
      <c r="CX77" s="93" t="s">
        <v>1095</v>
      </c>
      <c r="CY77" s="93" t="s">
        <v>1096</v>
      </c>
      <c r="CZ77" s="93" t="s">
        <v>1097</v>
      </c>
      <c r="DA77" s="66"/>
      <c r="DD77" s="13"/>
      <c r="DE77" s="90" t="s">
        <v>78</v>
      </c>
      <c r="DF77" t="s">
        <v>656</v>
      </c>
      <c r="DL77" s="13"/>
      <c r="DM77" s="13"/>
      <c r="EB77" s="13"/>
      <c r="EI77" s="20"/>
      <c r="EX77" s="27"/>
      <c r="EY77" s="18"/>
      <c r="EZ77" s="20"/>
      <c r="FA77"/>
      <c r="FU77" s="4" t="s">
        <v>1098</v>
      </c>
      <c r="FV77" s="66"/>
      <c r="FX77" s="13">
        <v>0</v>
      </c>
      <c r="FY77" s="80" t="s">
        <v>389</v>
      </c>
    </row>
    <row r="78" spans="2:181" x14ac:dyDescent="0.3">
      <c r="C78" s="173"/>
      <c r="S78" s="4"/>
      <c r="T78" s="4"/>
      <c r="U78" s="4"/>
      <c r="X78" s="13"/>
      <c r="Y78" s="13"/>
      <c r="AB78" s="6"/>
      <c r="AG78" s="56" t="s">
        <v>1099</v>
      </c>
      <c r="AH78" s="66" t="s">
        <v>113</v>
      </c>
      <c r="AI78" s="26" t="s">
        <v>114</v>
      </c>
      <c r="AJ78" s="104" t="s">
        <v>115</v>
      </c>
      <c r="AK78" s="105" t="s">
        <v>1100</v>
      </c>
      <c r="AL78" s="6"/>
      <c r="BN78" s="13"/>
      <c r="BO78" s="13"/>
      <c r="BP78" s="4" t="s">
        <v>455</v>
      </c>
      <c r="BQ78" s="4"/>
      <c r="BR78" s="6" t="str">
        <f t="shared" si="102"/>
        <v>Classic Maple 5x14 8 Lug Snare</v>
      </c>
      <c r="BS78" s="4" t="s">
        <v>455</v>
      </c>
      <c r="BT78" s="71"/>
      <c r="BU78" s="4"/>
      <c r="BV78" s="6" t="str">
        <f t="shared" si="99"/>
        <v>Legacy Maple 5.5x14 8 Lug Snare</v>
      </c>
      <c r="BW78" s="11" t="s">
        <v>288</v>
      </c>
      <c r="BX78" s="10"/>
      <c r="BZ78" s="6" t="str">
        <f t="shared" si="100"/>
        <v>Legacy Mahogany 5.5x14 8 Lug Snare</v>
      </c>
      <c r="CA78" s="11" t="s">
        <v>288</v>
      </c>
      <c r="CB78" s="10"/>
      <c r="CD78" s="6" t="str">
        <f t="shared" si="101"/>
        <v>Legacy Exotic 5.5x14 8 Lug Snare</v>
      </c>
      <c r="CE78" s="11" t="s">
        <v>288</v>
      </c>
      <c r="CF78" s="66"/>
      <c r="CG78" s="6" t="str">
        <f t="shared" si="93"/>
        <v>Classic Oak 5x14 8 Lug Snare</v>
      </c>
      <c r="CH78" s="4" t="s">
        <v>455</v>
      </c>
      <c r="CI78" s="70"/>
      <c r="CJ78" s="7"/>
      <c r="CK78" s="90"/>
      <c r="CL78" s="157"/>
      <c r="CM78" s="157"/>
      <c r="CN78" s="157"/>
      <c r="CO78" s="157"/>
      <c r="CP78" s="157"/>
      <c r="CQ78" s="157"/>
      <c r="CR78" s="158"/>
      <c r="CS78" s="157"/>
      <c r="CT78" s="157"/>
      <c r="CU78" s="4">
        <f>CJ78</f>
        <v>0</v>
      </c>
      <c r="CV78" s="93" t="s">
        <v>1060</v>
      </c>
      <c r="CW78" s="93" t="s">
        <v>1061</v>
      </c>
      <c r="CX78" s="93" t="s">
        <v>1062</v>
      </c>
      <c r="CY78" s="93" t="s">
        <v>1063</v>
      </c>
      <c r="CZ78" s="80" t="s">
        <v>1064</v>
      </c>
      <c r="DD78" s="13"/>
      <c r="DE78" s="90" t="s">
        <v>1101</v>
      </c>
      <c r="DF78" t="s">
        <v>656</v>
      </c>
      <c r="DG78" t="s">
        <v>674</v>
      </c>
      <c r="DL78" s="13"/>
      <c r="DM78" s="13"/>
      <c r="DX78" s="4"/>
      <c r="EB78" s="13"/>
      <c r="EF78" s="19"/>
      <c r="EG78" s="18"/>
      <c r="EH78" s="18"/>
      <c r="EI78" s="20"/>
      <c r="EX78" s="27"/>
      <c r="EY78" s="18"/>
      <c r="EZ78" s="20"/>
      <c r="FA78"/>
      <c r="FY78" s="13"/>
    </row>
    <row r="79" spans="2:181" x14ac:dyDescent="0.3">
      <c r="C79" s="173"/>
      <c r="S79" s="4"/>
      <c r="T79" s="4"/>
      <c r="U79" s="4"/>
      <c r="W79" s="13"/>
      <c r="X79" s="13"/>
      <c r="Y79" s="13"/>
      <c r="AB79" s="69" t="s">
        <v>1102</v>
      </c>
      <c r="AG79" s="56" t="s">
        <v>1103</v>
      </c>
      <c r="AH79" s="66" t="s">
        <v>113</v>
      </c>
      <c r="AI79" s="26" t="s">
        <v>114</v>
      </c>
      <c r="AJ79" s="104" t="s">
        <v>115</v>
      </c>
      <c r="AK79" s="105" t="s">
        <v>1103</v>
      </c>
      <c r="AL79" s="6"/>
      <c r="AU79" t="s">
        <v>1104</v>
      </c>
      <c r="BP79" s="4" t="s">
        <v>288</v>
      </c>
      <c r="BR79" s="6" t="str">
        <f t="shared" si="102"/>
        <v>Classic Maple 5.5x14 8 Lug Snare</v>
      </c>
      <c r="BS79" s="11" t="s">
        <v>288</v>
      </c>
      <c r="BT79" s="71"/>
      <c r="BV79" s="6" t="str">
        <f t="shared" si="99"/>
        <v>Legacy Maple 6.5x14 8 Lug Snare</v>
      </c>
      <c r="BW79" s="4" t="s">
        <v>470</v>
      </c>
      <c r="BX79" s="10"/>
      <c r="BZ79" s="6" t="str">
        <f t="shared" si="100"/>
        <v>Legacy Mahogany 6.5x14 8 Lug Snare</v>
      </c>
      <c r="CA79" s="4" t="s">
        <v>470</v>
      </c>
      <c r="CB79" s="10"/>
      <c r="CD79" s="6" t="str">
        <f t="shared" si="101"/>
        <v>Legacy Exotic 6.5x14 8 Lug Snare</v>
      </c>
      <c r="CE79" s="4" t="s">
        <v>470</v>
      </c>
      <c r="CG79" s="6" t="str">
        <f t="shared" si="93"/>
        <v>Classic Oak 5.5x14 8 Lug Snare</v>
      </c>
      <c r="CH79" s="11" t="s">
        <v>288</v>
      </c>
      <c r="CI79" s="70"/>
      <c r="CJ79" s="4"/>
      <c r="CK79" s="90"/>
      <c r="CL79" s="157"/>
      <c r="CM79" s="157"/>
      <c r="CN79" s="157"/>
      <c r="CO79" s="157"/>
      <c r="CP79" s="157"/>
      <c r="CQ79" s="157"/>
      <c r="CR79" s="156"/>
      <c r="CS79" s="157"/>
      <c r="CT79" s="157"/>
      <c r="CU79" s="4">
        <f>CJ79</f>
        <v>0</v>
      </c>
      <c r="CV79" s="93" t="s">
        <v>1068</v>
      </c>
      <c r="CW79" s="93" t="s">
        <v>1069</v>
      </c>
      <c r="CX79" s="93" t="s">
        <v>1070</v>
      </c>
      <c r="CY79" s="93" t="s">
        <v>1071</v>
      </c>
      <c r="CZ79" s="80" t="s">
        <v>1072</v>
      </c>
      <c r="DE79" s="90" t="s">
        <v>1105</v>
      </c>
      <c r="DF79" t="s">
        <v>656</v>
      </c>
      <c r="DG79" t="s">
        <v>674</v>
      </c>
      <c r="DH79" t="s">
        <v>689</v>
      </c>
      <c r="DI79" s="13"/>
      <c r="DS79" s="67"/>
      <c r="DX79" s="4"/>
      <c r="EB79" s="13"/>
      <c r="EF79" s="19"/>
      <c r="EG79" s="18"/>
      <c r="EH79" s="18"/>
      <c r="EI79" s="20"/>
      <c r="EX79" s="27"/>
      <c r="EY79" s="18"/>
      <c r="EZ79" s="20"/>
      <c r="FA79"/>
      <c r="FU79" t="s">
        <v>436</v>
      </c>
      <c r="FX79">
        <v>0</v>
      </c>
      <c r="FY79" s="13" t="s">
        <v>143</v>
      </c>
    </row>
    <row r="80" spans="2:181" x14ac:dyDescent="0.3">
      <c r="C80" s="173"/>
      <c r="S80" s="4"/>
      <c r="T80" s="4"/>
      <c r="U80" s="4"/>
      <c r="W80" s="13"/>
      <c r="X80" s="13"/>
      <c r="Y80" s="13"/>
      <c r="AA80" s="14" t="s">
        <v>11</v>
      </c>
      <c r="AB80" t="s">
        <v>456</v>
      </c>
      <c r="AE80" s="14"/>
      <c r="AF80" s="13"/>
      <c r="AG80" s="56" t="s">
        <v>603</v>
      </c>
      <c r="AH80" s="66" t="s">
        <v>113</v>
      </c>
      <c r="AI80" s="26" t="s">
        <v>114</v>
      </c>
      <c r="AJ80" s="104" t="s">
        <v>115</v>
      </c>
      <c r="AK80" s="105" t="s">
        <v>603</v>
      </c>
      <c r="AL80" s="6"/>
      <c r="BP80" s="4" t="s">
        <v>470</v>
      </c>
      <c r="BR80" s="6" t="str">
        <f t="shared" si="102"/>
        <v>Classic Maple 6.5x14 8 Lug Snare</v>
      </c>
      <c r="BS80" s="4" t="s">
        <v>470</v>
      </c>
      <c r="CB80" s="10"/>
      <c r="CG80" s="6" t="str">
        <f>CH$1&amp;" "&amp;CH80</f>
        <v>Classic Oak 6.5x14 8 Lug Snare</v>
      </c>
      <c r="CH80" s="4" t="s">
        <v>470</v>
      </c>
      <c r="CI80" s="70"/>
      <c r="CJ80" s="4"/>
      <c r="CK80" s="90"/>
      <c r="CL80" s="157"/>
      <c r="CM80" s="157"/>
      <c r="CN80" s="157"/>
      <c r="CO80" s="157"/>
      <c r="CP80" s="157"/>
      <c r="CQ80" s="157"/>
      <c r="CR80" s="30"/>
      <c r="CT80" s="157"/>
      <c r="CU80" s="11" t="s">
        <v>288</v>
      </c>
      <c r="CV80" s="15" t="s">
        <v>1076</v>
      </c>
      <c r="CW80" s="15" t="s">
        <v>1077</v>
      </c>
      <c r="CX80" s="15" t="s">
        <v>1078</v>
      </c>
      <c r="CY80" s="15" t="s">
        <v>1079</v>
      </c>
      <c r="CZ80" s="15" t="s">
        <v>1080</v>
      </c>
      <c r="DD80" s="13"/>
      <c r="DE80" s="90" t="s">
        <v>1106</v>
      </c>
      <c r="DF80" t="s">
        <v>656</v>
      </c>
      <c r="DG80" t="s">
        <v>674</v>
      </c>
      <c r="DH80" t="s">
        <v>689</v>
      </c>
      <c r="DI80" s="13" t="s">
        <v>723</v>
      </c>
      <c r="DJ80" s="13" t="s">
        <v>706</v>
      </c>
      <c r="DL80" s="13"/>
      <c r="DM80" s="13"/>
      <c r="DW80" t="s">
        <v>1107</v>
      </c>
      <c r="DX80" s="4" t="s">
        <v>1108</v>
      </c>
      <c r="EB80" s="13"/>
      <c r="EF80" s="19"/>
      <c r="EG80" s="18"/>
      <c r="EH80" s="18"/>
      <c r="EI80" s="18"/>
      <c r="EX80" s="27"/>
      <c r="EY80" s="18"/>
      <c r="EZ80" s="20"/>
      <c r="FA80"/>
      <c r="FY80" s="13"/>
    </row>
    <row r="81" spans="3:181" x14ac:dyDescent="0.3">
      <c r="C81" s="173"/>
      <c r="X81" s="14"/>
      <c r="AA81" s="14" t="s">
        <v>11</v>
      </c>
      <c r="AB81" t="s">
        <v>1109</v>
      </c>
      <c r="AE81" s="14"/>
      <c r="AF81" s="13"/>
      <c r="AG81" s="10" t="s">
        <v>397</v>
      </c>
      <c r="AH81" s="66" t="s">
        <v>113</v>
      </c>
      <c r="AI81" s="26" t="s">
        <v>301</v>
      </c>
      <c r="AJ81" s="104" t="s">
        <v>264</v>
      </c>
      <c r="AK81" s="105" t="s">
        <v>397</v>
      </c>
      <c r="AL81" s="6"/>
      <c r="AT81" s="13" t="s">
        <v>60</v>
      </c>
      <c r="AU81" s="18" t="s">
        <v>172</v>
      </c>
      <c r="AV81" s="18" t="s">
        <v>118</v>
      </c>
      <c r="AW81" s="18" t="s">
        <v>1110</v>
      </c>
      <c r="AX81" s="18" t="s">
        <v>1111</v>
      </c>
      <c r="AY81" s="18" t="s">
        <v>1112</v>
      </c>
      <c r="BA81" s="18"/>
      <c r="BT81" s="4"/>
      <c r="CI81" s="70"/>
      <c r="CJ81" s="4"/>
      <c r="CK81" s="90"/>
      <c r="CL81" s="157"/>
      <c r="CM81" s="157"/>
      <c r="CN81" s="157"/>
      <c r="CO81" s="157"/>
      <c r="CP81" s="157"/>
      <c r="CQ81" s="157"/>
      <c r="CT81" s="157"/>
      <c r="CU81" s="4">
        <f>CJ81</f>
        <v>0</v>
      </c>
      <c r="CV81" s="93" t="s">
        <v>1085</v>
      </c>
      <c r="CW81" s="93" t="s">
        <v>1086</v>
      </c>
      <c r="CX81" s="93" t="s">
        <v>1087</v>
      </c>
      <c r="CY81" s="93" t="s">
        <v>1088</v>
      </c>
      <c r="CZ81" s="80" t="s">
        <v>1089</v>
      </c>
      <c r="DD81" s="13"/>
      <c r="DE81" s="90" t="s">
        <v>1113</v>
      </c>
      <c r="DF81" t="s">
        <v>656</v>
      </c>
      <c r="DG81" s="7" t="s">
        <v>674</v>
      </c>
      <c r="DH81" s="13" t="s">
        <v>689</v>
      </c>
      <c r="DI81" s="13" t="s">
        <v>1037</v>
      </c>
      <c r="DJ81" s="13" t="s">
        <v>1027</v>
      </c>
      <c r="DW81" t="s">
        <v>436</v>
      </c>
      <c r="DX81" s="4"/>
      <c r="EB81" s="13"/>
      <c r="EF81" s="21"/>
      <c r="EG81" s="18"/>
      <c r="EH81" s="18"/>
      <c r="EI81" s="18"/>
      <c r="EX81" s="27"/>
      <c r="EY81" s="18"/>
      <c r="EZ81" s="20"/>
      <c r="FA81"/>
      <c r="FY81" s="13"/>
    </row>
    <row r="82" spans="3:181" x14ac:dyDescent="0.3">
      <c r="C82" s="173"/>
      <c r="X82" s="14"/>
      <c r="AA82" s="14" t="s">
        <v>11</v>
      </c>
      <c r="AB82" t="s">
        <v>1114</v>
      </c>
      <c r="AE82" s="14"/>
      <c r="AF82" s="13"/>
      <c r="AG82" s="56" t="s">
        <v>157</v>
      </c>
      <c r="AH82" s="66" t="s">
        <v>377</v>
      </c>
      <c r="AI82" s="66" t="s">
        <v>356</v>
      </c>
      <c r="AJ82" s="104" t="s">
        <v>1115</v>
      </c>
      <c r="AK82" s="105" t="s">
        <v>510</v>
      </c>
      <c r="AL82" s="6"/>
      <c r="AT82" s="44" t="str">
        <f>CONCATENATE(AV82,".",AU82,".",AW82)</f>
        <v>10_12T.L8.IOV</v>
      </c>
      <c r="AU82" s="18" t="s">
        <v>68</v>
      </c>
      <c r="AV82" s="18" t="s">
        <v>813</v>
      </c>
      <c r="AW82" s="20" t="s">
        <v>1011</v>
      </c>
      <c r="AX82" s="228">
        <v>1220115</v>
      </c>
      <c r="AY82" s="229">
        <v>352</v>
      </c>
      <c r="BA82" s="91"/>
      <c r="BT82" s="4"/>
      <c r="CQ82" s="157"/>
      <c r="CT82" s="157"/>
      <c r="DD82" s="13"/>
      <c r="DE82" s="90" t="s">
        <v>1116</v>
      </c>
      <c r="DF82" t="s">
        <v>656</v>
      </c>
      <c r="DG82" t="s">
        <v>1037</v>
      </c>
      <c r="DH82" s="13" t="s">
        <v>1027</v>
      </c>
      <c r="DI82" s="13"/>
      <c r="DJ82"/>
      <c r="DW82" t="s">
        <v>452</v>
      </c>
      <c r="DX82" s="4"/>
      <c r="EB82" s="13"/>
      <c r="EF82" s="21"/>
      <c r="EG82" s="18"/>
      <c r="EH82" s="18"/>
      <c r="EI82" s="18"/>
      <c r="EX82" s="27"/>
      <c r="EY82" s="18"/>
      <c r="EZ82" s="20"/>
      <c r="FA82"/>
      <c r="FY82" s="13"/>
    </row>
    <row r="83" spans="3:181" ht="15" thickBot="1" x14ac:dyDescent="0.35">
      <c r="C83" s="173"/>
      <c r="AA83" s="14"/>
      <c r="AB83" s="69" t="s">
        <v>1117</v>
      </c>
      <c r="AE83" s="14"/>
      <c r="AF83" s="13"/>
      <c r="AG83" s="56" t="s">
        <v>1198</v>
      </c>
      <c r="AH83" s="66" t="s">
        <v>113</v>
      </c>
      <c r="AI83" s="26" t="s">
        <v>114</v>
      </c>
      <c r="AJ83" s="104" t="s">
        <v>115</v>
      </c>
      <c r="AK83" s="105" t="s">
        <v>1198</v>
      </c>
      <c r="AL83" s="6"/>
      <c r="AT83" s="44" t="str">
        <f t="shared" ref="AT83:AT146" si="103">CONCATENATE(AV83,".",AU83,".",AW83)</f>
        <v>10_13T.L8.IOV</v>
      </c>
      <c r="AU83" s="18" t="s">
        <v>68</v>
      </c>
      <c r="AV83" s="18" t="s">
        <v>848</v>
      </c>
      <c r="AW83" s="20" t="s">
        <v>1011</v>
      </c>
      <c r="AX83" s="228">
        <v>1220115</v>
      </c>
      <c r="AY83" s="229">
        <v>301</v>
      </c>
      <c r="BA83" s="91"/>
      <c r="BS83" s="10" t="s">
        <v>1118</v>
      </c>
      <c r="CJ83" s="7"/>
      <c r="CQ83" s="157"/>
      <c r="CT83" s="157"/>
      <c r="DD83" s="13"/>
      <c r="DE83" s="90" t="s">
        <v>1119</v>
      </c>
      <c r="DF83" t="s">
        <v>1120</v>
      </c>
      <c r="DG83" t="s">
        <v>1121</v>
      </c>
      <c r="DH83" s="13"/>
      <c r="DI83" s="13"/>
      <c r="DW83" t="s">
        <v>468</v>
      </c>
      <c r="DX83" s="4"/>
      <c r="EB83" s="13"/>
      <c r="EF83" s="21"/>
      <c r="EG83" s="18"/>
      <c r="EH83" s="18"/>
      <c r="EI83" s="18"/>
      <c r="EX83" s="27"/>
      <c r="EY83" s="18"/>
      <c r="EZ83" s="20"/>
      <c r="FA83"/>
      <c r="FY83" s="13"/>
    </row>
    <row r="84" spans="3:181" ht="15" thickBot="1" x14ac:dyDescent="0.35">
      <c r="C84" s="173"/>
      <c r="U84" s="4"/>
      <c r="V84" s="4"/>
      <c r="AA84" s="14" t="s">
        <v>12</v>
      </c>
      <c r="AB84" t="s">
        <v>491</v>
      </c>
      <c r="AE84" s="14"/>
      <c r="AF84" s="13"/>
      <c r="AL84" s="6"/>
      <c r="AT84" s="44" t="str">
        <f t="shared" si="103"/>
        <v>10_14S.L8.IOV</v>
      </c>
      <c r="AU84" s="18" t="s">
        <v>68</v>
      </c>
      <c r="AV84" s="18" t="s">
        <v>1122</v>
      </c>
      <c r="AW84" s="20" t="s">
        <v>1011</v>
      </c>
      <c r="AX84" s="228">
        <v>1220115</v>
      </c>
      <c r="AY84" s="229">
        <v>105</v>
      </c>
      <c r="BA84" s="91"/>
      <c r="BS84" s="96" t="str">
        <f>IF(BR99&gt;0,"Triple_Flange","PDC")</f>
        <v>PDC</v>
      </c>
      <c r="CJ84" s="7"/>
      <c r="CQ84" s="157"/>
      <c r="DD84" s="13"/>
      <c r="DE84" s="90" t="s">
        <v>1123</v>
      </c>
      <c r="DF84" t="s">
        <v>1037</v>
      </c>
      <c r="DG84" t="s">
        <v>1027</v>
      </c>
      <c r="DH84" s="13" t="s">
        <v>1121</v>
      </c>
      <c r="DI84" s="13"/>
      <c r="DJ84"/>
      <c r="DW84" t="s">
        <v>501</v>
      </c>
      <c r="DX84" s="4"/>
      <c r="EF84" s="21"/>
      <c r="EG84" s="18"/>
      <c r="EH84" s="18"/>
      <c r="EI84" s="18"/>
      <c r="EX84" s="27"/>
      <c r="EY84" s="20"/>
      <c r="EZ84" s="20"/>
      <c r="FA84" s="18"/>
      <c r="FY84" s="13"/>
    </row>
    <row r="85" spans="3:181" x14ac:dyDescent="0.3">
      <c r="C85" s="173"/>
      <c r="AA85" s="14" t="s">
        <v>12</v>
      </c>
      <c r="AB85" t="s">
        <v>1109</v>
      </c>
      <c r="AE85" s="14"/>
      <c r="AF85" s="13"/>
      <c r="AL85" s="6"/>
      <c r="AT85" s="44" t="str">
        <f t="shared" si="103"/>
        <v>10_14T.L8.IOV</v>
      </c>
      <c r="AU85" s="18" t="s">
        <v>68</v>
      </c>
      <c r="AV85" s="18" t="s">
        <v>887</v>
      </c>
      <c r="AW85" s="20" t="s">
        <v>1011</v>
      </c>
      <c r="AX85" s="228">
        <v>1220115</v>
      </c>
      <c r="AY85" s="229">
        <v>121</v>
      </c>
      <c r="BA85" s="91"/>
      <c r="BR85" t="s">
        <v>1124</v>
      </c>
      <c r="CQ85" s="157"/>
      <c r="DD85" s="13"/>
      <c r="DE85" s="90" t="s">
        <v>1125</v>
      </c>
      <c r="DF85" t="s">
        <v>656</v>
      </c>
      <c r="DG85" t="s">
        <v>706</v>
      </c>
      <c r="DH85" s="13" t="s">
        <v>1037</v>
      </c>
      <c r="DI85" s="13" t="s">
        <v>1027</v>
      </c>
      <c r="DJ85" t="s">
        <v>1121</v>
      </c>
      <c r="DW85" t="s">
        <v>519</v>
      </c>
      <c r="DX85" s="4"/>
      <c r="EF85" s="19"/>
      <c r="EG85" s="18"/>
      <c r="EH85" s="18"/>
      <c r="EI85" s="18"/>
      <c r="EX85" s="27"/>
      <c r="EY85" s="20"/>
      <c r="EZ85" s="20"/>
      <c r="FA85" s="18"/>
      <c r="FY85" s="13"/>
    </row>
    <row r="86" spans="3:181" x14ac:dyDescent="0.3">
      <c r="C86" s="173"/>
      <c r="AA86" s="14" t="s">
        <v>12</v>
      </c>
      <c r="AB86" t="s">
        <v>456</v>
      </c>
      <c r="AL86" s="6"/>
      <c r="AT86" s="44" t="str">
        <f t="shared" si="103"/>
        <v>11_12T.L8.IOV</v>
      </c>
      <c r="AU86" s="18" t="s">
        <v>68</v>
      </c>
      <c r="AV86" s="18" t="s">
        <v>825</v>
      </c>
      <c r="AW86" s="20" t="s">
        <v>1011</v>
      </c>
      <c r="AX86" s="228">
        <v>1220115</v>
      </c>
      <c r="AY86" s="229">
        <v>352</v>
      </c>
      <c r="BA86" s="91"/>
      <c r="BR86" s="13">
        <f t="shared" ref="BR86:BR91" si="104">IF(ISERROR(MATCH( BS86, $C$8:$C$20,0)=TRUE),0,1)</f>
        <v>0</v>
      </c>
      <c r="BS86" s="4" t="s">
        <v>322</v>
      </c>
      <c r="BT86" t="s">
        <v>1126</v>
      </c>
      <c r="CK86" s="160"/>
      <c r="CL86" s="18"/>
      <c r="CM86" s="18"/>
      <c r="CN86" s="18"/>
      <c r="CO86" s="23"/>
      <c r="CP86" s="226"/>
      <c r="DE86" s="90" t="s">
        <v>1127</v>
      </c>
      <c r="DF86" t="s">
        <v>656</v>
      </c>
      <c r="DG86" t="s">
        <v>1037</v>
      </c>
      <c r="DH86" s="13" t="s">
        <v>1027</v>
      </c>
      <c r="DI86" s="13" t="s">
        <v>1121</v>
      </c>
      <c r="DJ86"/>
      <c r="DX86" s="4"/>
      <c r="EF86" s="19"/>
      <c r="EG86" s="18"/>
      <c r="EH86" s="18"/>
      <c r="EI86" s="18"/>
      <c r="EX86" s="27"/>
      <c r="EY86" s="20"/>
      <c r="EZ86" s="20"/>
      <c r="FA86" s="18"/>
      <c r="FY86" s="13"/>
    </row>
    <row r="87" spans="3:181" x14ac:dyDescent="0.3">
      <c r="C87" s="173"/>
      <c r="AA87" s="14"/>
      <c r="AB87" s="69" t="s">
        <v>1128</v>
      </c>
      <c r="AE87" s="14"/>
      <c r="AF87" s="13"/>
      <c r="AL87" s="6"/>
      <c r="AT87" s="44" t="str">
        <f t="shared" si="103"/>
        <v>11_13T.L8.IOV</v>
      </c>
      <c r="AU87" s="18" t="s">
        <v>68</v>
      </c>
      <c r="AV87" s="18" t="s">
        <v>857</v>
      </c>
      <c r="AW87" s="20" t="s">
        <v>1011</v>
      </c>
      <c r="AX87" s="228">
        <v>1220115</v>
      </c>
      <c r="AY87" s="229">
        <v>301</v>
      </c>
      <c r="BA87" s="91"/>
      <c r="BR87" s="13">
        <f t="shared" si="104"/>
        <v>0</v>
      </c>
      <c r="BS87" s="4" t="s">
        <v>340</v>
      </c>
      <c r="BT87" t="s">
        <v>1129</v>
      </c>
      <c r="CK87" s="160"/>
      <c r="CL87" s="18"/>
      <c r="CM87" s="18"/>
      <c r="CN87" s="18"/>
      <c r="CO87" s="23"/>
      <c r="CP87" s="226"/>
      <c r="DE87" s="90" t="s">
        <v>1130</v>
      </c>
      <c r="DF87" t="s">
        <v>656</v>
      </c>
      <c r="DG87" t="s">
        <v>1037</v>
      </c>
      <c r="DX87" s="4"/>
      <c r="EF87" s="19"/>
      <c r="EG87" s="18"/>
      <c r="EH87" s="18"/>
      <c r="EI87" s="18"/>
      <c r="EX87" s="27"/>
      <c r="EY87" s="20"/>
      <c r="EZ87" s="20"/>
      <c r="FA87" s="18"/>
      <c r="FY87" s="13"/>
    </row>
    <row r="88" spans="3:181" x14ac:dyDescent="0.3">
      <c r="C88" s="173"/>
      <c r="AA88" s="14" t="s">
        <v>13</v>
      </c>
      <c r="AB88" t="s">
        <v>491</v>
      </c>
      <c r="AE88" s="14"/>
      <c r="AF88" s="13"/>
      <c r="AL88" s="6"/>
      <c r="AT88" s="44" t="str">
        <f t="shared" si="103"/>
        <v>11_14T.L8.IOV</v>
      </c>
      <c r="AU88" s="18" t="s">
        <v>68</v>
      </c>
      <c r="AV88" s="18" t="s">
        <v>900</v>
      </c>
      <c r="AW88" s="20" t="s">
        <v>1011</v>
      </c>
      <c r="AX88" s="228">
        <v>1220115</v>
      </c>
      <c r="AY88" s="229">
        <v>121</v>
      </c>
      <c r="BA88" s="91"/>
      <c r="BR88" s="13">
        <f t="shared" si="104"/>
        <v>0</v>
      </c>
      <c r="BS88" s="4" t="s">
        <v>357</v>
      </c>
      <c r="BT88" t="s">
        <v>1131</v>
      </c>
      <c r="CK88" s="160"/>
      <c r="CL88" s="18"/>
      <c r="CM88" s="18"/>
      <c r="CN88" s="18"/>
      <c r="CO88" s="23"/>
      <c r="CP88" s="226"/>
      <c r="CT88" s="23"/>
      <c r="DD88" s="13"/>
      <c r="DE88" s="90" t="s">
        <v>1132</v>
      </c>
      <c r="DF88" t="s">
        <v>656</v>
      </c>
      <c r="DG88" t="s">
        <v>706</v>
      </c>
      <c r="DH88" s="13" t="s">
        <v>1037</v>
      </c>
      <c r="DX88" s="4"/>
      <c r="EF88" s="19"/>
      <c r="EG88" s="18"/>
      <c r="EH88" s="18"/>
      <c r="EI88" s="18"/>
      <c r="EX88" s="27"/>
      <c r="EY88" s="20"/>
      <c r="EZ88" s="20"/>
      <c r="FA88" s="18"/>
    </row>
    <row r="89" spans="3:181" x14ac:dyDescent="0.3">
      <c r="AA89" s="14" t="s">
        <v>13</v>
      </c>
      <c r="AB89" t="s">
        <v>1109</v>
      </c>
      <c r="AE89" s="14"/>
      <c r="AF89" s="13"/>
      <c r="AL89" s="6"/>
      <c r="AT89" s="44" t="str">
        <f t="shared" si="103"/>
        <v>12_13T.L8.IOV</v>
      </c>
      <c r="AU89" s="18" t="s">
        <v>68</v>
      </c>
      <c r="AV89" s="18" t="s">
        <v>865</v>
      </c>
      <c r="AW89" s="20" t="s">
        <v>1011</v>
      </c>
      <c r="AX89" s="228">
        <v>1220115</v>
      </c>
      <c r="AY89" s="229">
        <v>301</v>
      </c>
      <c r="BA89" s="91"/>
      <c r="BR89" s="13">
        <f t="shared" si="104"/>
        <v>0</v>
      </c>
      <c r="BS89" s="4" t="s">
        <v>375</v>
      </c>
      <c r="CK89" s="160"/>
      <c r="CL89" s="18"/>
      <c r="CM89" s="18"/>
      <c r="CN89" s="18"/>
      <c r="CO89" s="23"/>
      <c r="CP89" s="226"/>
      <c r="CT89" s="23"/>
      <c r="DD89" s="13"/>
      <c r="DE89" s="69"/>
      <c r="DX89" s="4"/>
      <c r="EF89" s="19"/>
      <c r="EG89" s="18"/>
      <c r="EH89" s="18"/>
      <c r="EI89" s="18"/>
      <c r="EX89" s="27"/>
      <c r="EY89" s="20"/>
      <c r="EZ89" s="20"/>
      <c r="FA89" s="18"/>
    </row>
    <row r="90" spans="3:181" x14ac:dyDescent="0.3">
      <c r="C90" s="173"/>
      <c r="AA90" s="14" t="s">
        <v>13</v>
      </c>
      <c r="AB90" t="s">
        <v>456</v>
      </c>
      <c r="AT90" s="44" t="str">
        <f t="shared" si="103"/>
        <v>12_14F.L8.IOV</v>
      </c>
      <c r="AU90" s="18" t="s">
        <v>68</v>
      </c>
      <c r="AV90" s="18" t="s">
        <v>583</v>
      </c>
      <c r="AW90" s="20" t="s">
        <v>1011</v>
      </c>
      <c r="AX90" s="228">
        <v>1220115</v>
      </c>
      <c r="AY90" s="229">
        <v>121</v>
      </c>
      <c r="BA90" s="91"/>
      <c r="BR90" s="13">
        <f t="shared" si="104"/>
        <v>0</v>
      </c>
      <c r="BS90" s="4" t="s">
        <v>394</v>
      </c>
      <c r="CK90" s="160"/>
      <c r="CL90" s="18"/>
      <c r="CM90" s="18"/>
      <c r="CN90" s="18"/>
      <c r="CO90" s="23"/>
      <c r="CP90" s="226"/>
      <c r="CQ90" s="23"/>
      <c r="CT90" s="23"/>
      <c r="DW90" t="s">
        <v>1133</v>
      </c>
      <c r="DX90" s="4" t="s">
        <v>1134</v>
      </c>
      <c r="EF90" s="19"/>
      <c r="EG90" s="18"/>
      <c r="EH90" s="18"/>
      <c r="EI90" s="18"/>
      <c r="EX90" s="27"/>
      <c r="EY90" s="20"/>
      <c r="EZ90" s="20"/>
      <c r="FA90" s="18"/>
    </row>
    <row r="91" spans="3:181" x14ac:dyDescent="0.3">
      <c r="C91" s="173"/>
      <c r="AA91" s="14"/>
      <c r="AB91" s="69" t="s">
        <v>1135</v>
      </c>
      <c r="AE91" s="14"/>
      <c r="AF91" s="13"/>
      <c r="AT91" s="44" t="str">
        <f t="shared" si="103"/>
        <v>12_14T.L8.IOV</v>
      </c>
      <c r="AU91" s="18" t="s">
        <v>68</v>
      </c>
      <c r="AV91" s="18" t="s">
        <v>913</v>
      </c>
      <c r="AW91" s="20" t="s">
        <v>1011</v>
      </c>
      <c r="AX91" s="228">
        <v>1220115</v>
      </c>
      <c r="AY91" s="229">
        <v>121</v>
      </c>
      <c r="BA91" s="91"/>
      <c r="BR91" s="13">
        <f t="shared" si="104"/>
        <v>0</v>
      </c>
      <c r="BS91" s="4" t="s">
        <v>833</v>
      </c>
      <c r="CK91" s="160"/>
      <c r="CL91" s="18"/>
      <c r="CM91" s="18"/>
      <c r="CN91" s="18"/>
      <c r="CO91" s="23"/>
      <c r="CP91" s="226"/>
      <c r="CQ91" s="23"/>
      <c r="CR91" s="55"/>
      <c r="CT91" s="23"/>
      <c r="DD91" s="13"/>
      <c r="DE91" s="69"/>
      <c r="DW91" t="s">
        <v>436</v>
      </c>
      <c r="DX91" s="4"/>
      <c r="EF91" s="19"/>
      <c r="EG91" s="18"/>
      <c r="EH91" s="18"/>
      <c r="EI91" s="18"/>
      <c r="EX91" s="27"/>
      <c r="EY91" s="20"/>
      <c r="EZ91" s="20"/>
      <c r="FA91" s="18"/>
    </row>
    <row r="92" spans="3:181" x14ac:dyDescent="0.3">
      <c r="AA92" s="14" t="s">
        <v>14</v>
      </c>
      <c r="AB92" t="s">
        <v>491</v>
      </c>
      <c r="AE92" s="14"/>
      <c r="AF92" s="13"/>
      <c r="AT92" s="44" t="str">
        <f t="shared" si="103"/>
        <v>12_15T.L8.IOV</v>
      </c>
      <c r="AU92" s="18" t="s">
        <v>68</v>
      </c>
      <c r="AV92" s="18" t="s">
        <v>941</v>
      </c>
      <c r="AW92" s="20" t="s">
        <v>1011</v>
      </c>
      <c r="AX92" s="228">
        <v>1220115</v>
      </c>
      <c r="AY92" s="229">
        <v>121</v>
      </c>
      <c r="BA92" s="91"/>
      <c r="BR92" s="13">
        <f t="shared" ref="BR92:BR97" si="105">IF(ISERROR(MATCH( BS92, $C$8:$C$20,0)=TRUE),0,1)</f>
        <v>0</v>
      </c>
      <c r="BS92" s="4" t="s">
        <v>409</v>
      </c>
      <c r="CK92" s="160"/>
      <c r="CL92" s="18"/>
      <c r="CM92" s="18"/>
      <c r="CN92" s="18"/>
      <c r="CO92" s="23"/>
      <c r="CP92" s="226"/>
      <c r="CQ92" s="23"/>
      <c r="CR92"/>
      <c r="CT92" s="23"/>
      <c r="DD92" s="13"/>
      <c r="DE92" s="69"/>
      <c r="DW92" t="s">
        <v>452</v>
      </c>
      <c r="DX92" s="4"/>
      <c r="EF92" s="19"/>
      <c r="EG92" s="18"/>
      <c r="EH92" s="18"/>
      <c r="EI92" s="20"/>
      <c r="EX92" s="27"/>
      <c r="EY92" s="18"/>
      <c r="EZ92" s="20"/>
      <c r="FA92" s="18"/>
    </row>
    <row r="93" spans="3:181" x14ac:dyDescent="0.3">
      <c r="C93" s="173"/>
      <c r="AA93" s="14" t="s">
        <v>14</v>
      </c>
      <c r="AB93" t="s">
        <v>1109</v>
      </c>
      <c r="AE93" s="14"/>
      <c r="AF93" s="13"/>
      <c r="AT93" s="44" t="str">
        <f t="shared" si="103"/>
        <v>12_18B.L8.IOV</v>
      </c>
      <c r="AU93" s="18" t="s">
        <v>68</v>
      </c>
      <c r="AV93" s="18" t="s">
        <v>133</v>
      </c>
      <c r="AW93" s="20" t="s">
        <v>1011</v>
      </c>
      <c r="AX93" s="228">
        <v>1220115</v>
      </c>
      <c r="AY93" s="229">
        <v>186</v>
      </c>
      <c r="BA93" s="91"/>
      <c r="BR93" s="13">
        <f t="shared" si="105"/>
        <v>0</v>
      </c>
      <c r="BS93" s="4" t="s">
        <v>424</v>
      </c>
      <c r="CK93" s="160"/>
      <c r="CL93" s="18"/>
      <c r="CM93" s="18"/>
      <c r="CN93" s="18"/>
      <c r="CO93" s="23"/>
      <c r="CP93" s="226"/>
      <c r="CQ93" s="23"/>
      <c r="CR93" s="30"/>
      <c r="CT93" s="23"/>
      <c r="DD93" s="13"/>
      <c r="DE93" s="69"/>
      <c r="DW93" t="s">
        <v>468</v>
      </c>
      <c r="DX93" s="4"/>
      <c r="EF93" s="19"/>
      <c r="EG93" s="18"/>
      <c r="EH93" s="18"/>
      <c r="EI93" s="20"/>
      <c r="EX93" s="27"/>
      <c r="EY93" s="18"/>
      <c r="EZ93" s="20"/>
      <c r="FA93" s="18"/>
    </row>
    <row r="94" spans="3:181" x14ac:dyDescent="0.3">
      <c r="C94" s="173"/>
      <c r="AA94" s="14" t="s">
        <v>14</v>
      </c>
      <c r="AB94" t="s">
        <v>456</v>
      </c>
      <c r="AT94" s="44" t="str">
        <f t="shared" si="103"/>
        <v>12_20B.L8.IOV</v>
      </c>
      <c r="AU94" s="18" t="s">
        <v>68</v>
      </c>
      <c r="AV94" s="18" t="s">
        <v>217</v>
      </c>
      <c r="AW94" s="20" t="s">
        <v>1011</v>
      </c>
      <c r="AX94" s="228">
        <v>1220115</v>
      </c>
      <c r="AY94" s="229">
        <v>189</v>
      </c>
      <c r="BA94" s="91"/>
      <c r="BR94" s="13">
        <f t="shared" si="105"/>
        <v>0</v>
      </c>
      <c r="BS94" s="4" t="s">
        <v>439</v>
      </c>
      <c r="CK94" s="160"/>
      <c r="CL94" s="18"/>
      <c r="CM94" s="18"/>
      <c r="CN94" s="18"/>
      <c r="CO94" s="23"/>
      <c r="CP94" s="226"/>
      <c r="CQ94" s="23"/>
      <c r="CT94" s="23"/>
      <c r="DW94" t="s">
        <v>486</v>
      </c>
      <c r="EF94" s="19"/>
      <c r="EG94" s="18"/>
      <c r="EH94" s="18"/>
      <c r="EI94" s="20"/>
      <c r="EX94" s="27"/>
      <c r="EY94" s="18"/>
      <c r="EZ94" s="20"/>
      <c r="FA94" s="18"/>
    </row>
    <row r="95" spans="3:181" x14ac:dyDescent="0.3">
      <c r="C95" s="173"/>
      <c r="AA95" s="14"/>
      <c r="AB95" s="69" t="s">
        <v>1136</v>
      </c>
      <c r="AE95" s="14"/>
      <c r="AF95" s="13"/>
      <c r="AI95" s="75"/>
      <c r="AJ95" s="13"/>
      <c r="AK95" s="13"/>
      <c r="AT95" s="44" t="str">
        <f t="shared" si="103"/>
        <v>12_22B.L8.IOV</v>
      </c>
      <c r="AU95" s="18" t="s">
        <v>68</v>
      </c>
      <c r="AV95" s="18" t="s">
        <v>330</v>
      </c>
      <c r="AW95" s="20" t="s">
        <v>1011</v>
      </c>
      <c r="AX95" s="228">
        <v>1220115</v>
      </c>
      <c r="AY95" s="229">
        <v>94</v>
      </c>
      <c r="BA95" s="91"/>
      <c r="BR95" s="13">
        <f t="shared" si="105"/>
        <v>0</v>
      </c>
      <c r="BS95" s="4" t="s">
        <v>455</v>
      </c>
      <c r="CK95" s="160"/>
      <c r="CL95" s="18"/>
      <c r="CM95" s="18"/>
      <c r="CN95" s="18"/>
      <c r="CO95" s="23"/>
      <c r="CP95" s="226"/>
      <c r="CQ95" s="23"/>
      <c r="CT95" s="23"/>
      <c r="DW95" t="s">
        <v>501</v>
      </c>
      <c r="EF95" s="19"/>
      <c r="EG95" s="18"/>
      <c r="EH95" s="18"/>
      <c r="EI95" s="20"/>
      <c r="EX95" s="27"/>
      <c r="EY95" s="18"/>
      <c r="EZ95" s="20"/>
      <c r="FA95" s="18"/>
    </row>
    <row r="96" spans="3:181" x14ac:dyDescent="0.3">
      <c r="C96" s="173"/>
      <c r="AA96" s="14" t="s">
        <v>15</v>
      </c>
      <c r="AB96" t="s">
        <v>15</v>
      </c>
      <c r="AI96" s="24"/>
      <c r="AJ96" s="13"/>
      <c r="AK96" s="13"/>
      <c r="AT96" s="44" t="str">
        <f t="shared" si="103"/>
        <v>12_24B.L8.IOV</v>
      </c>
      <c r="AU96" s="18" t="s">
        <v>68</v>
      </c>
      <c r="AV96" s="18" t="s">
        <v>413</v>
      </c>
      <c r="AW96" s="20" t="s">
        <v>1011</v>
      </c>
      <c r="AX96" s="228">
        <v>1220115</v>
      </c>
      <c r="AY96" s="229">
        <v>94</v>
      </c>
      <c r="BA96" s="91"/>
      <c r="BR96" s="13">
        <f t="shared" si="105"/>
        <v>0</v>
      </c>
      <c r="BS96" s="4" t="s">
        <v>288</v>
      </c>
      <c r="CK96" s="160"/>
      <c r="CL96" s="18"/>
      <c r="CM96" s="18"/>
      <c r="CN96" s="18"/>
      <c r="CO96" s="23"/>
      <c r="CP96" s="226"/>
      <c r="CQ96" s="23"/>
      <c r="CT96" s="23"/>
      <c r="DW96" t="s">
        <v>519</v>
      </c>
      <c r="EF96" s="19"/>
      <c r="EG96" s="18"/>
      <c r="EH96" s="18"/>
      <c r="EI96" s="18"/>
      <c r="EX96" s="27"/>
      <c r="EY96" s="18"/>
      <c r="EZ96" s="20"/>
      <c r="FA96" s="18"/>
    </row>
    <row r="97" spans="3:157" x14ac:dyDescent="0.3">
      <c r="AA97" s="14" t="s">
        <v>15</v>
      </c>
      <c r="AB97" t="s">
        <v>1109</v>
      </c>
      <c r="AI97" s="24"/>
      <c r="AJ97" s="13"/>
      <c r="AK97" s="13"/>
      <c r="AT97" s="44" t="str">
        <f t="shared" si="103"/>
        <v>12_26B.L8.IOV</v>
      </c>
      <c r="AU97" s="18" t="s">
        <v>68</v>
      </c>
      <c r="AV97" s="18" t="s">
        <v>494</v>
      </c>
      <c r="AW97" s="20" t="s">
        <v>1011</v>
      </c>
      <c r="AX97" s="228">
        <v>1220115</v>
      </c>
      <c r="AY97" s="229">
        <v>94</v>
      </c>
      <c r="BA97" s="91"/>
      <c r="BR97" s="13">
        <f t="shared" si="105"/>
        <v>0</v>
      </c>
      <c r="BS97" s="4" t="s">
        <v>470</v>
      </c>
      <c r="CK97" s="160"/>
      <c r="CL97" s="18"/>
      <c r="CM97" s="18"/>
      <c r="CN97" s="18"/>
      <c r="CO97" s="23"/>
      <c r="CP97" s="226"/>
      <c r="CQ97" s="23"/>
      <c r="CT97" s="23"/>
      <c r="EF97" s="21"/>
      <c r="EG97" s="18"/>
      <c r="EH97" s="18"/>
      <c r="EI97" s="18"/>
      <c r="EX97" s="27"/>
      <c r="EY97" s="18"/>
      <c r="EZ97" s="20"/>
      <c r="FA97" s="18"/>
    </row>
    <row r="98" spans="3:157" x14ac:dyDescent="0.3">
      <c r="C98" s="173"/>
      <c r="AI98" s="24"/>
      <c r="AJ98" s="13"/>
      <c r="AK98" s="13"/>
      <c r="AT98" s="44" t="str">
        <f t="shared" si="103"/>
        <v>13_14F.L8.IOV</v>
      </c>
      <c r="AU98" s="18" t="s">
        <v>68</v>
      </c>
      <c r="AV98" s="18" t="s">
        <v>602</v>
      </c>
      <c r="AW98" s="20" t="s">
        <v>1011</v>
      </c>
      <c r="AX98" s="228">
        <v>1220115</v>
      </c>
      <c r="AY98" s="229">
        <v>121</v>
      </c>
      <c r="BA98" s="91"/>
      <c r="CK98" s="160"/>
      <c r="CL98" s="18"/>
      <c r="CM98" s="18"/>
      <c r="CN98" s="18"/>
      <c r="CO98" s="23"/>
      <c r="CP98" s="226"/>
      <c r="CQ98" s="23"/>
      <c r="CT98" s="23"/>
      <c r="DT98" s="14"/>
      <c r="EF98" s="21"/>
      <c r="EG98" s="18"/>
      <c r="EH98" s="18"/>
      <c r="EI98" s="18"/>
      <c r="EX98" s="27"/>
      <c r="EY98" s="18"/>
      <c r="EZ98" s="20"/>
      <c r="FA98" s="18"/>
    </row>
    <row r="99" spans="3:157" x14ac:dyDescent="0.3">
      <c r="AI99" s="24"/>
      <c r="AJ99" s="13"/>
      <c r="AK99" s="13"/>
      <c r="AT99" s="44" t="str">
        <f t="shared" si="103"/>
        <v>13_14T.L8.IOV</v>
      </c>
      <c r="AU99" s="18" t="s">
        <v>68</v>
      </c>
      <c r="AV99" s="18" t="s">
        <v>926</v>
      </c>
      <c r="AW99" s="20" t="s">
        <v>1011</v>
      </c>
      <c r="AX99" s="228">
        <v>1220115</v>
      </c>
      <c r="AY99" s="229">
        <v>121</v>
      </c>
      <c r="BA99" s="91"/>
      <c r="BR99" s="25">
        <f>SUM(BR86:BR88)</f>
        <v>0</v>
      </c>
      <c r="BS99" t="s">
        <v>1137</v>
      </c>
      <c r="CK99" s="160"/>
      <c r="CL99" s="18"/>
      <c r="CM99" s="18"/>
      <c r="CN99" s="18"/>
      <c r="CO99" s="23"/>
      <c r="CP99" s="226"/>
      <c r="CQ99" s="23"/>
      <c r="CR99" s="153"/>
      <c r="CT99" s="23"/>
      <c r="DT99" s="14"/>
      <c r="EF99" s="21"/>
      <c r="EG99" s="18"/>
      <c r="EH99" s="18"/>
      <c r="EI99" s="18"/>
      <c r="EX99" s="27"/>
      <c r="EY99" s="18"/>
      <c r="EZ99" s="20"/>
      <c r="FA99" s="18"/>
    </row>
    <row r="100" spans="3:157" x14ac:dyDescent="0.3">
      <c r="AI100" s="24"/>
      <c r="AJ100" s="13"/>
      <c r="AK100" s="13"/>
      <c r="AT100" s="44" t="str">
        <f t="shared" si="103"/>
        <v>13_15F.L8.IOV</v>
      </c>
      <c r="AU100" s="18" t="s">
        <v>68</v>
      </c>
      <c r="AV100" s="18" t="s">
        <v>630</v>
      </c>
      <c r="AW100" s="20" t="s">
        <v>1011</v>
      </c>
      <c r="AX100" s="228">
        <v>1220115</v>
      </c>
      <c r="AY100" s="229">
        <v>121</v>
      </c>
      <c r="BA100" s="91"/>
      <c r="BR100" s="25">
        <f>SUM(BR89:BR97)</f>
        <v>0</v>
      </c>
      <c r="BS100" t="s">
        <v>1138</v>
      </c>
      <c r="CK100" s="160"/>
      <c r="CL100" s="18"/>
      <c r="CM100" s="18"/>
      <c r="CN100" s="18"/>
      <c r="CO100" s="23"/>
      <c r="CP100" s="226"/>
      <c r="CQ100" s="23"/>
      <c r="CT100" s="23"/>
      <c r="EF100" s="21"/>
      <c r="EG100" s="18"/>
      <c r="EH100" s="18"/>
      <c r="EI100" s="18"/>
      <c r="EX100" s="27"/>
      <c r="EY100" s="18"/>
      <c r="EZ100" s="20"/>
      <c r="FA100" s="18"/>
    </row>
    <row r="101" spans="3:157" x14ac:dyDescent="0.3">
      <c r="AI101" s="24"/>
      <c r="AJ101" s="13"/>
      <c r="AK101" s="13"/>
      <c r="AT101" s="44" t="str">
        <f t="shared" si="103"/>
        <v>13_15T.L8.IOV</v>
      </c>
      <c r="AU101" s="18" t="s">
        <v>68</v>
      </c>
      <c r="AV101" s="18" t="s">
        <v>949</v>
      </c>
      <c r="AW101" s="20" t="s">
        <v>1011</v>
      </c>
      <c r="AX101" s="228">
        <v>1220115</v>
      </c>
      <c r="AY101" s="229">
        <v>121</v>
      </c>
      <c r="BA101" s="91"/>
      <c r="BR101" s="81"/>
      <c r="CK101" s="160"/>
      <c r="CL101" s="18"/>
      <c r="CM101" s="18"/>
      <c r="CN101" s="18"/>
      <c r="CO101" s="23"/>
      <c r="CP101" s="226"/>
      <c r="CQ101" s="23"/>
      <c r="CT101" s="23"/>
      <c r="DD101" s="13"/>
      <c r="EF101" s="19"/>
      <c r="EG101" s="18"/>
      <c r="EH101" s="18"/>
      <c r="EI101" s="18"/>
      <c r="EX101" s="27"/>
      <c r="EY101" s="18"/>
      <c r="EZ101" s="20"/>
      <c r="FA101" s="18"/>
    </row>
    <row r="102" spans="3:157" x14ac:dyDescent="0.3">
      <c r="AI102" s="24"/>
      <c r="AJ102" s="13"/>
      <c r="AK102" s="13"/>
      <c r="AT102" s="44" t="str">
        <f t="shared" si="103"/>
        <v>13_16F.L8.IOV</v>
      </c>
      <c r="AU102" s="18" t="s">
        <v>68</v>
      </c>
      <c r="AV102" s="18" t="s">
        <v>665</v>
      </c>
      <c r="AW102" s="20" t="s">
        <v>1011</v>
      </c>
      <c r="AX102" s="228">
        <v>1220115</v>
      </c>
      <c r="AY102" s="229">
        <v>243</v>
      </c>
      <c r="BA102" s="91"/>
      <c r="CK102" s="160"/>
      <c r="CL102" s="18"/>
      <c r="CM102" s="18"/>
      <c r="CN102" s="18"/>
      <c r="CO102" s="23"/>
      <c r="CP102" s="226"/>
      <c r="CQ102" s="23"/>
      <c r="CR102"/>
      <c r="CT102" s="23"/>
      <c r="DD102" s="13"/>
      <c r="EF102" s="19"/>
      <c r="EG102" s="18"/>
      <c r="EH102" s="18"/>
      <c r="EI102" s="18"/>
      <c r="EX102" s="27"/>
      <c r="EY102" s="18"/>
      <c r="EZ102" s="20"/>
      <c r="FA102" s="18"/>
    </row>
    <row r="103" spans="3:157" x14ac:dyDescent="0.3">
      <c r="AI103" s="24"/>
      <c r="AJ103" s="13"/>
      <c r="AK103" s="13"/>
      <c r="AT103" s="44" t="str">
        <f t="shared" si="103"/>
        <v>14_14F.L8.IOV</v>
      </c>
      <c r="AU103" s="18" t="s">
        <v>68</v>
      </c>
      <c r="AV103" s="18" t="s">
        <v>616</v>
      </c>
      <c r="AW103" s="20" t="s">
        <v>1011</v>
      </c>
      <c r="AX103" s="228">
        <v>1220115</v>
      </c>
      <c r="AY103" s="229">
        <v>121</v>
      </c>
      <c r="BA103" s="91"/>
      <c r="BR103" s="13" t="s">
        <v>1139</v>
      </c>
      <c r="BS103" s="4" t="s">
        <v>824</v>
      </c>
      <c r="CK103" s="160"/>
      <c r="CL103" s="18"/>
      <c r="CM103" s="18"/>
      <c r="CN103" s="18"/>
      <c r="CO103" s="23"/>
      <c r="CP103" s="226"/>
      <c r="CQ103" s="23"/>
      <c r="CR103" s="30"/>
      <c r="CT103" s="23"/>
      <c r="CX103" s="13" t="s">
        <v>1140</v>
      </c>
      <c r="CY103" s="13" t="s">
        <v>1141</v>
      </c>
      <c r="CZ103" s="13" t="s">
        <v>1142</v>
      </c>
      <c r="DD103" s="13"/>
      <c r="EF103" s="19"/>
      <c r="EG103" s="18"/>
      <c r="EH103" s="18"/>
      <c r="EI103" s="18"/>
      <c r="EX103" s="27"/>
      <c r="EY103" s="18"/>
      <c r="EZ103" s="20"/>
      <c r="FA103" s="18"/>
    </row>
    <row r="104" spans="3:157" x14ac:dyDescent="0.3">
      <c r="AD104" s="4"/>
      <c r="AI104" s="24"/>
      <c r="AJ104" s="13"/>
      <c r="AK104" s="13"/>
      <c r="AT104" s="44" t="str">
        <f t="shared" si="103"/>
        <v>14_14T.L8.IOV</v>
      </c>
      <c r="AU104" s="18" t="s">
        <v>68</v>
      </c>
      <c r="AV104" s="18" t="s">
        <v>933</v>
      </c>
      <c r="AW104" s="20" t="s">
        <v>1011</v>
      </c>
      <c r="AX104" s="228">
        <v>1220115</v>
      </c>
      <c r="AY104" s="229">
        <v>121</v>
      </c>
      <c r="BA104" s="91"/>
      <c r="BR104" s="13" t="s">
        <v>1143</v>
      </c>
      <c r="BS104" s="4" t="s">
        <v>1144</v>
      </c>
      <c r="CK104" s="160"/>
      <c r="CL104" s="18"/>
      <c r="CM104" s="18"/>
      <c r="CN104" s="18"/>
      <c r="CO104" s="23"/>
      <c r="CP104" s="226"/>
      <c r="CQ104" s="23"/>
      <c r="CT104" s="23"/>
      <c r="CV104" s="7" t="s">
        <v>1145</v>
      </c>
      <c r="DD104" s="13"/>
      <c r="EF104" s="19"/>
      <c r="EG104" s="18"/>
      <c r="EH104" s="18"/>
      <c r="EI104" s="18"/>
      <c r="EX104" s="27"/>
      <c r="EY104" s="18"/>
      <c r="EZ104" s="20"/>
      <c r="FA104" s="18"/>
    </row>
    <row r="105" spans="3:157" x14ac:dyDescent="0.3">
      <c r="AI105" s="24"/>
      <c r="AJ105" s="13"/>
      <c r="AK105" s="13"/>
      <c r="AT105" s="44" t="str">
        <f t="shared" si="103"/>
        <v>14_15F.L8.IOV</v>
      </c>
      <c r="AU105" s="18" t="s">
        <v>68</v>
      </c>
      <c r="AV105" s="18" t="s">
        <v>647</v>
      </c>
      <c r="AW105" s="20" t="s">
        <v>1011</v>
      </c>
      <c r="AX105" s="228">
        <v>1220115</v>
      </c>
      <c r="AY105" s="229">
        <v>121</v>
      </c>
      <c r="BA105" s="91"/>
      <c r="CK105" s="160"/>
      <c r="CL105" s="18"/>
      <c r="CM105" s="18"/>
      <c r="CN105" s="18"/>
      <c r="CO105" s="23"/>
      <c r="CP105" s="226"/>
      <c r="CQ105" s="23"/>
      <c r="CT105" s="23"/>
      <c r="CW105" s="13" t="s">
        <v>1</v>
      </c>
      <c r="CX105" s="13" t="s">
        <v>300</v>
      </c>
      <c r="CY105" s="13" t="s">
        <v>262</v>
      </c>
      <c r="CZ105" s="13" t="s">
        <v>1146</v>
      </c>
      <c r="DA105" s="13" t="s">
        <v>1147</v>
      </c>
      <c r="DB105" s="13" t="s">
        <v>1148</v>
      </c>
      <c r="DC105" s="43" t="s">
        <v>1149</v>
      </c>
      <c r="DD105" s="13" t="s">
        <v>1150</v>
      </c>
      <c r="DE105" s="13" t="s">
        <v>1151</v>
      </c>
      <c r="DF105" s="13" t="s">
        <v>1152</v>
      </c>
      <c r="DO105" t="s">
        <v>1153</v>
      </c>
      <c r="DP105" s="30"/>
      <c r="EF105" s="19"/>
      <c r="EG105" s="18"/>
      <c r="EH105" s="18"/>
      <c r="EI105" s="18"/>
      <c r="EX105" s="27"/>
      <c r="EY105" s="18"/>
      <c r="EZ105" s="20"/>
      <c r="FA105" s="18"/>
    </row>
    <row r="106" spans="3:157" x14ac:dyDescent="0.3">
      <c r="AT106" s="44" t="str">
        <f t="shared" si="103"/>
        <v>14_15T.L8.IOV</v>
      </c>
      <c r="AU106" s="18" t="s">
        <v>68</v>
      </c>
      <c r="AV106" s="18" t="s">
        <v>956</v>
      </c>
      <c r="AW106" s="20" t="s">
        <v>1011</v>
      </c>
      <c r="AX106" s="228">
        <v>1220115</v>
      </c>
      <c r="AY106" s="229">
        <v>121</v>
      </c>
      <c r="BA106" s="91"/>
      <c r="CK106" s="160"/>
      <c r="CL106" s="18"/>
      <c r="CM106" s="18"/>
      <c r="CN106" s="18"/>
      <c r="CO106" s="23"/>
      <c r="CP106" s="226"/>
      <c r="CQ106" s="23"/>
      <c r="CT106" s="23"/>
      <c r="CW106" s="15">
        <v>1</v>
      </c>
      <c r="CX106" s="15" t="s">
        <v>233</v>
      </c>
      <c r="CY106" s="15" t="s">
        <v>233</v>
      </c>
      <c r="CZ106" s="15" t="s">
        <v>233</v>
      </c>
      <c r="DA106" s="15" t="s">
        <v>233</v>
      </c>
      <c r="DB106" s="15" t="s">
        <v>233</v>
      </c>
      <c r="DC106" s="15" t="s">
        <v>233</v>
      </c>
      <c r="DD106" s="15" t="s">
        <v>235</v>
      </c>
      <c r="DE106" s="15" t="s">
        <v>235</v>
      </c>
      <c r="DF106" s="15" t="s">
        <v>235</v>
      </c>
      <c r="DG106" s="15" t="s">
        <v>233</v>
      </c>
      <c r="DJ106" s="233" t="s">
        <v>1154</v>
      </c>
      <c r="DK106" s="233" t="s">
        <v>1155</v>
      </c>
      <c r="DL106" s="233" t="s">
        <v>1156</v>
      </c>
      <c r="DM106" s="233" t="s">
        <v>1157</v>
      </c>
      <c r="DN106" s="233" t="s">
        <v>1158</v>
      </c>
      <c r="DO106" s="233" t="s">
        <v>1159</v>
      </c>
      <c r="DP106" s="233" t="s">
        <v>1160</v>
      </c>
      <c r="EF106" s="19"/>
      <c r="EG106" s="18"/>
      <c r="EH106" s="18"/>
      <c r="EI106" s="18"/>
      <c r="EX106" s="27"/>
      <c r="EY106" s="18"/>
      <c r="EZ106" s="20"/>
      <c r="FA106" s="18"/>
    </row>
    <row r="107" spans="3:157" x14ac:dyDescent="0.3">
      <c r="AT107" s="44" t="str">
        <f t="shared" si="103"/>
        <v>14_16F.L8.IOV</v>
      </c>
      <c r="AU107" s="18" t="s">
        <v>68</v>
      </c>
      <c r="AV107" s="18" t="s">
        <v>681</v>
      </c>
      <c r="AW107" s="20" t="s">
        <v>1011</v>
      </c>
      <c r="AX107" s="228">
        <v>1220115</v>
      </c>
      <c r="AY107" s="229">
        <v>243</v>
      </c>
      <c r="BA107" s="91"/>
      <c r="CK107" s="160"/>
      <c r="CL107" s="18"/>
      <c r="CM107" s="18"/>
      <c r="CN107" s="18"/>
      <c r="CO107" s="23"/>
      <c r="CP107" s="226"/>
      <c r="CQ107" s="23"/>
      <c r="CT107" s="23"/>
      <c r="CV107" s="13" t="s">
        <v>1161</v>
      </c>
      <c r="CW107" s="90" t="s">
        <v>1</v>
      </c>
      <c r="CX107" s="90" t="s">
        <v>300</v>
      </c>
      <c r="CY107" s="90" t="s">
        <v>262</v>
      </c>
      <c r="CZ107" s="90" t="s">
        <v>1146</v>
      </c>
      <c r="DA107" s="90" t="s">
        <v>1147</v>
      </c>
      <c r="DB107" s="90" t="s">
        <v>1148</v>
      </c>
      <c r="DC107" s="90" t="s">
        <v>1149</v>
      </c>
      <c r="DD107" s="90">
        <v>1</v>
      </c>
      <c r="DE107" s="90">
        <v>2</v>
      </c>
      <c r="DF107" s="90">
        <v>3</v>
      </c>
      <c r="DG107" s="90" t="s">
        <v>1162</v>
      </c>
      <c r="DH107" s="90" t="s">
        <v>1111</v>
      </c>
      <c r="DJ107" s="232" t="s">
        <v>883</v>
      </c>
      <c r="DK107" s="234" t="s">
        <v>233</v>
      </c>
      <c r="DL107" s="234" t="s">
        <v>300</v>
      </c>
      <c r="DM107" s="235">
        <v>44576</v>
      </c>
      <c r="DN107" s="236">
        <v>1800</v>
      </c>
      <c r="DO107" s="237">
        <v>810</v>
      </c>
      <c r="DP107" s="236">
        <v>1189</v>
      </c>
      <c r="DQ107" s="90"/>
      <c r="DR107" s="90"/>
      <c r="EF107" s="19"/>
      <c r="EG107" s="18"/>
      <c r="EH107" s="18"/>
      <c r="EI107" s="18"/>
      <c r="EX107" s="27"/>
      <c r="EY107" s="18"/>
      <c r="EZ107" s="20"/>
      <c r="FA107" s="18"/>
    </row>
    <row r="108" spans="3:157" x14ac:dyDescent="0.3">
      <c r="AT108" s="44" t="str">
        <f t="shared" si="103"/>
        <v>14_16T.L8.IOV</v>
      </c>
      <c r="AU108" s="18" t="s">
        <v>68</v>
      </c>
      <c r="AV108" s="18" t="s">
        <v>970</v>
      </c>
      <c r="AW108" s="20" t="s">
        <v>1011</v>
      </c>
      <c r="AX108" s="228">
        <v>1220115</v>
      </c>
      <c r="AY108" s="229">
        <v>243</v>
      </c>
      <c r="BA108" s="91"/>
      <c r="CK108" s="160"/>
      <c r="CL108" s="18"/>
      <c r="CM108" s="18"/>
      <c r="CN108" s="18"/>
      <c r="CO108" s="23"/>
      <c r="CP108" s="226"/>
      <c r="CQ108" s="23"/>
      <c r="CT108" s="23"/>
      <c r="CU108" s="177" t="str">
        <f t="shared" ref="CU108:CU114" si="106">CONCATENATE(DI108," ",DH108)</f>
        <v>LB L8 1220115</v>
      </c>
      <c r="CV108" s="13" t="s">
        <v>882</v>
      </c>
      <c r="CW108" s="13">
        <f>INDEX($DJ$106:$DP$295,MATCH($CV108,$DJ$106:$DJ$295,0),5)</f>
        <v>1538</v>
      </c>
      <c r="CX108" s="13">
        <f t="shared" ref="CX108:DF108" si="107">SUMIFS($DO$106:$DO$295,$DJ$106:$DJ$295,$CV108,$DL$106:$DL$295,CX$107,$DK$106:$DK$295,CX$106)</f>
        <v>692.1</v>
      </c>
      <c r="CY108" s="13">
        <f t="shared" si="107"/>
        <v>653.65</v>
      </c>
      <c r="CZ108" s="13">
        <f t="shared" si="107"/>
        <v>1000</v>
      </c>
      <c r="DA108" s="13">
        <f t="shared" si="107"/>
        <v>692.1</v>
      </c>
      <c r="DB108" s="13">
        <f t="shared" si="107"/>
        <v>653.65</v>
      </c>
      <c r="DC108" s="13">
        <f t="shared" si="107"/>
        <v>653.65</v>
      </c>
      <c r="DD108" s="13">
        <f t="shared" si="107"/>
        <v>720.94</v>
      </c>
      <c r="DE108" s="13">
        <f t="shared" si="107"/>
        <v>576.75</v>
      </c>
      <c r="DF108" s="13">
        <f t="shared" si="107"/>
        <v>576.75</v>
      </c>
      <c r="DG108" s="13">
        <f t="shared" ref="DG108:DG120" si="108">INDEX($DJ$106:$DP$295,MATCH($CV108,$DJ$106:$DJ$295,0),7)</f>
        <v>1000</v>
      </c>
      <c r="DH108" s="13">
        <v>1220115</v>
      </c>
      <c r="DI108" s="90" t="s">
        <v>1163</v>
      </c>
      <c r="DJ108" s="232" t="s">
        <v>883</v>
      </c>
      <c r="DK108" s="234" t="s">
        <v>233</v>
      </c>
      <c r="DL108" s="234" t="s">
        <v>262</v>
      </c>
      <c r="DM108" s="235">
        <v>44576</v>
      </c>
      <c r="DN108" s="236">
        <v>1800</v>
      </c>
      <c r="DO108" s="237">
        <v>765</v>
      </c>
      <c r="DP108" s="236">
        <v>1189</v>
      </c>
      <c r="DQ108" s="13"/>
      <c r="DR108" s="13"/>
      <c r="EF108" s="19"/>
      <c r="EG108" s="18"/>
      <c r="EH108" s="18"/>
      <c r="EI108" s="20"/>
      <c r="EX108" s="27"/>
      <c r="EY108" s="18"/>
      <c r="EZ108" s="20"/>
      <c r="FA108" s="18"/>
    </row>
    <row r="109" spans="3:157" x14ac:dyDescent="0.3">
      <c r="AT109" s="44" t="str">
        <f t="shared" si="103"/>
        <v>14_18B.L8.IOV</v>
      </c>
      <c r="AU109" s="18" t="s">
        <v>68</v>
      </c>
      <c r="AV109" s="18" t="s">
        <v>160</v>
      </c>
      <c r="AW109" s="20" t="s">
        <v>1011</v>
      </c>
      <c r="AX109" s="228">
        <v>1220115</v>
      </c>
      <c r="AY109" s="229">
        <v>186</v>
      </c>
      <c r="BA109" s="91"/>
      <c r="CK109" s="160"/>
      <c r="CL109" s="18"/>
      <c r="CM109" s="18"/>
      <c r="CN109" s="18"/>
      <c r="CO109" s="23"/>
      <c r="CP109" s="226"/>
      <c r="CQ109" s="23"/>
      <c r="CR109"/>
      <c r="CT109" s="23"/>
      <c r="CU109" s="177" t="str">
        <f t="shared" si="106"/>
        <v>LF L8 1220115</v>
      </c>
      <c r="CV109" s="13" t="s">
        <v>908</v>
      </c>
      <c r="CW109" s="13">
        <f>INDEX($DJ$106:$DP$295,MATCH($CV109,$DJ$106:$DJ$295,0),5)</f>
        <v>760</v>
      </c>
      <c r="CX109" s="13">
        <f t="shared" ref="CX109:DD109" si="109">SUMIFS($DO$106:$DO$295,$DJ$106:$DJ$295,$CV109,$DL$106:$DL$295,CX$107,$DK$106:$DK$295,CX$106)</f>
        <v>342</v>
      </c>
      <c r="CY109" s="13">
        <f t="shared" si="109"/>
        <v>323</v>
      </c>
      <c r="CZ109" s="13">
        <f t="shared" si="109"/>
        <v>494</v>
      </c>
      <c r="DA109" s="13">
        <f t="shared" si="109"/>
        <v>342</v>
      </c>
      <c r="DB109" s="13">
        <f t="shared" si="109"/>
        <v>323</v>
      </c>
      <c r="DC109" s="13">
        <f t="shared" si="109"/>
        <v>323</v>
      </c>
      <c r="DD109" s="13">
        <f t="shared" si="109"/>
        <v>356.25</v>
      </c>
      <c r="DE109" s="13">
        <f t="shared" ref="DE109:DF127" si="110">SUMIFS($DO$106:$DO$295,$DJ$106:$DJ$295,$CV109,$DL$106:$DL$295,DE$107,$DK$106:$DK$295,DE$106)</f>
        <v>285</v>
      </c>
      <c r="DF109" s="13">
        <f t="shared" si="110"/>
        <v>285</v>
      </c>
      <c r="DG109" s="13">
        <f t="shared" si="108"/>
        <v>494</v>
      </c>
      <c r="DH109" s="13">
        <v>1220115</v>
      </c>
      <c r="DI109" s="90" t="s">
        <v>1164</v>
      </c>
      <c r="DJ109" s="232" t="s">
        <v>883</v>
      </c>
      <c r="DK109" s="234" t="s">
        <v>233</v>
      </c>
      <c r="DL109" s="234" t="s">
        <v>1146</v>
      </c>
      <c r="DM109" s="235">
        <v>44576</v>
      </c>
      <c r="DN109" s="236">
        <v>1800</v>
      </c>
      <c r="DO109" s="237">
        <v>1189</v>
      </c>
      <c r="DP109" s="236">
        <v>1189</v>
      </c>
      <c r="DQ109" s="13"/>
      <c r="DR109" s="13"/>
      <c r="EF109" s="19"/>
      <c r="EG109" s="18"/>
      <c r="EH109" s="18"/>
      <c r="EI109" s="18"/>
      <c r="EX109" s="27"/>
      <c r="EY109" s="18"/>
      <c r="EZ109" s="20"/>
      <c r="FA109" s="18"/>
    </row>
    <row r="110" spans="3:157" x14ac:dyDescent="0.3">
      <c r="AT110" s="44" t="str">
        <f t="shared" si="103"/>
        <v>14_20B.L8.IOV</v>
      </c>
      <c r="AU110" s="18" t="s">
        <v>68</v>
      </c>
      <c r="AV110" s="18" t="s">
        <v>253</v>
      </c>
      <c r="AW110" s="20" t="s">
        <v>1011</v>
      </c>
      <c r="AX110" s="228">
        <v>1220115</v>
      </c>
      <c r="AY110" s="229">
        <v>189</v>
      </c>
      <c r="BA110" s="91"/>
      <c r="CK110" s="160"/>
      <c r="CL110" s="18"/>
      <c r="CM110" s="18"/>
      <c r="CN110" s="18"/>
      <c r="CO110" s="23"/>
      <c r="CP110" s="226"/>
      <c r="CQ110" s="23"/>
      <c r="CR110" s="30"/>
      <c r="CT110" s="23"/>
      <c r="CU110" s="177" t="str">
        <f t="shared" si="106"/>
        <v>LT L8 1220115</v>
      </c>
      <c r="CV110" s="13" t="s">
        <v>895</v>
      </c>
      <c r="CW110" s="13">
        <f>INDEX($DJ$106:$DP$295,MATCH($CV110,$DJ$106:$DJ$295,0),5)</f>
        <v>658</v>
      </c>
      <c r="CX110" s="13">
        <f t="shared" ref="CX110:DD125" si="111">SUMIFS($DO$106:$DO$295,$DJ$106:$DJ$295,$CV110,$DL$106:$DL$295,CX$107,$DK$106:$DK$295,CX$106)</f>
        <v>296.10000000000002</v>
      </c>
      <c r="CY110" s="13">
        <f t="shared" si="111"/>
        <v>279.64999999999998</v>
      </c>
      <c r="CZ110" s="13">
        <f t="shared" si="111"/>
        <v>428</v>
      </c>
      <c r="DA110" s="13">
        <f t="shared" si="111"/>
        <v>296.10000000000002</v>
      </c>
      <c r="DB110" s="13">
        <f t="shared" si="111"/>
        <v>279.64999999999998</v>
      </c>
      <c r="DC110" s="13">
        <f t="shared" si="111"/>
        <v>279.64999999999998</v>
      </c>
      <c r="DD110" s="13">
        <f>SUMIFS($DO$106:$DO$295,$DJ$106:$DJ$295,$CV110,$DL$106:$DL$295,DD$107,$DK$106:$DK$295,DD$106)</f>
        <v>308.44</v>
      </c>
      <c r="DE110" s="13">
        <f t="shared" si="110"/>
        <v>246.75</v>
      </c>
      <c r="DF110" s="13">
        <f t="shared" si="110"/>
        <v>246.75</v>
      </c>
      <c r="DG110" s="13">
        <f t="shared" si="108"/>
        <v>428</v>
      </c>
      <c r="DH110" s="13">
        <v>1220115</v>
      </c>
      <c r="DI110" s="90" t="s">
        <v>1165</v>
      </c>
      <c r="DJ110" s="232" t="s">
        <v>883</v>
      </c>
      <c r="DK110" s="234" t="s">
        <v>233</v>
      </c>
      <c r="DL110" s="234" t="s">
        <v>1149</v>
      </c>
      <c r="DM110" s="235">
        <v>44576</v>
      </c>
      <c r="DN110" s="236">
        <v>1800</v>
      </c>
      <c r="DO110" s="237">
        <v>765</v>
      </c>
      <c r="DP110" s="236">
        <v>1189</v>
      </c>
      <c r="DQ110" s="13"/>
      <c r="DR110" s="13"/>
      <c r="EF110" s="19"/>
      <c r="EG110" s="18"/>
      <c r="EH110" s="18"/>
      <c r="EI110" s="18"/>
      <c r="EX110" s="27"/>
      <c r="EY110" s="18"/>
      <c r="EZ110" s="20"/>
      <c r="FA110" s="18"/>
    </row>
    <row r="111" spans="3:157" x14ac:dyDescent="0.3">
      <c r="AT111" s="44" t="str">
        <f t="shared" si="103"/>
        <v>14_22B.L8.IOV</v>
      </c>
      <c r="AU111" s="18" t="s">
        <v>68</v>
      </c>
      <c r="AV111" s="18" t="s">
        <v>346</v>
      </c>
      <c r="AW111" s="20" t="s">
        <v>1011</v>
      </c>
      <c r="AX111" s="228">
        <v>1220115</v>
      </c>
      <c r="AY111" s="229">
        <v>94</v>
      </c>
      <c r="BA111" s="91"/>
      <c r="CK111" s="160"/>
      <c r="CL111" s="18"/>
      <c r="CM111" s="18"/>
      <c r="CN111" s="18"/>
      <c r="CO111" s="23"/>
      <c r="CP111" s="226"/>
      <c r="CQ111" s="23"/>
      <c r="CT111" s="23"/>
      <c r="CU111" s="177" t="str">
        <f t="shared" si="106"/>
        <v>LS L8 1220115</v>
      </c>
      <c r="CV111" s="13" t="s">
        <v>921</v>
      </c>
      <c r="CW111" s="13">
        <f>INDEX($DJ$106:$DP$295,MATCH($CV111,$DJ$106:$DJ$295,0),5)</f>
        <v>737</v>
      </c>
      <c r="CX111" s="13">
        <f t="shared" si="111"/>
        <v>331.65</v>
      </c>
      <c r="CY111" s="13">
        <f t="shared" si="111"/>
        <v>313.23</v>
      </c>
      <c r="CZ111" s="13">
        <f t="shared" si="111"/>
        <v>479</v>
      </c>
      <c r="DA111" s="13">
        <f t="shared" si="111"/>
        <v>331.65</v>
      </c>
      <c r="DB111" s="13">
        <f t="shared" si="111"/>
        <v>313.23</v>
      </c>
      <c r="DC111" s="13">
        <f t="shared" si="111"/>
        <v>313.23</v>
      </c>
      <c r="DD111" s="13">
        <f>SUMIFS($DO$106:$DO$295,$DJ$106:$DJ$295,$CV111,$DL$106:$DL$295,DD$107,$DK$106:$DK$295,DD$106)</f>
        <v>345.47</v>
      </c>
      <c r="DE111" s="13">
        <f t="shared" si="110"/>
        <v>276.06</v>
      </c>
      <c r="DF111" s="13">
        <f t="shared" si="110"/>
        <v>276.06</v>
      </c>
      <c r="DG111" s="13">
        <f t="shared" si="108"/>
        <v>479</v>
      </c>
      <c r="DH111" s="13">
        <v>1220115</v>
      </c>
      <c r="DI111" s="90" t="s">
        <v>1166</v>
      </c>
      <c r="DJ111" s="232" t="s">
        <v>883</v>
      </c>
      <c r="DK111" s="234" t="s">
        <v>233</v>
      </c>
      <c r="DL111" s="234" t="s">
        <v>1147</v>
      </c>
      <c r="DM111" s="235">
        <v>44576</v>
      </c>
      <c r="DN111" s="236">
        <v>1800</v>
      </c>
      <c r="DO111" s="237">
        <v>810</v>
      </c>
      <c r="DP111" s="236">
        <v>1189</v>
      </c>
      <c r="DQ111" s="13"/>
      <c r="DR111" s="13"/>
      <c r="EF111" s="19"/>
      <c r="EG111" s="18"/>
      <c r="EH111" s="18"/>
      <c r="EI111" s="18"/>
      <c r="EX111" s="27"/>
      <c r="EY111" s="18"/>
      <c r="EZ111" s="20"/>
      <c r="FA111" s="18"/>
    </row>
    <row r="112" spans="3:157" x14ac:dyDescent="0.3">
      <c r="AT112" s="44" t="str">
        <f t="shared" si="103"/>
        <v>14_24B.L8.IOV</v>
      </c>
      <c r="AU112" s="18" t="s">
        <v>68</v>
      </c>
      <c r="AV112" s="18" t="s">
        <v>428</v>
      </c>
      <c r="AW112" s="20" t="s">
        <v>1011</v>
      </c>
      <c r="AX112" s="228">
        <v>1220115</v>
      </c>
      <c r="AY112" s="229">
        <v>94</v>
      </c>
      <c r="BA112" s="91"/>
      <c r="CK112" s="160"/>
      <c r="CL112" s="18"/>
      <c r="CM112" s="18"/>
      <c r="CN112" s="18"/>
      <c r="CO112" s="23"/>
      <c r="CP112" s="226"/>
      <c r="CQ112" s="23"/>
      <c r="CT112" s="23"/>
      <c r="CU112" s="177" t="str">
        <f t="shared" si="106"/>
        <v>LB LL 1220115</v>
      </c>
      <c r="CV112" s="13" t="s">
        <v>883</v>
      </c>
      <c r="CW112" s="13">
        <f>INDEX($DJ$106:$DP$295,MATCH($CV112,$DJ$106:$DJ$295,0),5)</f>
        <v>1800</v>
      </c>
      <c r="CX112" s="13">
        <f t="shared" si="111"/>
        <v>810</v>
      </c>
      <c r="CY112" s="13">
        <f t="shared" si="111"/>
        <v>765</v>
      </c>
      <c r="CZ112" s="13">
        <f t="shared" si="111"/>
        <v>1189</v>
      </c>
      <c r="DA112" s="13">
        <f t="shared" si="111"/>
        <v>810</v>
      </c>
      <c r="DB112" s="13">
        <f t="shared" si="111"/>
        <v>765</v>
      </c>
      <c r="DC112" s="13">
        <f t="shared" si="111"/>
        <v>765</v>
      </c>
      <c r="DD112" s="13">
        <f t="shared" si="111"/>
        <v>843.75</v>
      </c>
      <c r="DE112" s="13">
        <f t="shared" si="110"/>
        <v>675</v>
      </c>
      <c r="DF112" s="13">
        <f t="shared" si="110"/>
        <v>675</v>
      </c>
      <c r="DG112" s="13">
        <f t="shared" si="108"/>
        <v>1189</v>
      </c>
      <c r="DH112" s="13">
        <v>1220115</v>
      </c>
      <c r="DI112" s="90" t="s">
        <v>1167</v>
      </c>
      <c r="DJ112" s="232" t="s">
        <v>883</v>
      </c>
      <c r="DK112" s="234" t="s">
        <v>233</v>
      </c>
      <c r="DL112" s="234" t="s">
        <v>1148</v>
      </c>
      <c r="DM112" s="235">
        <v>44576</v>
      </c>
      <c r="DN112" s="236">
        <v>1800</v>
      </c>
      <c r="DO112" s="237">
        <v>765</v>
      </c>
      <c r="DP112" s="236">
        <v>1189</v>
      </c>
      <c r="DQ112" s="13"/>
      <c r="DR112" s="13"/>
      <c r="EF112" s="19"/>
      <c r="EG112" s="18"/>
      <c r="EH112" s="18"/>
      <c r="EI112" s="18"/>
      <c r="EX112" s="27"/>
      <c r="EY112" s="18"/>
      <c r="EZ112" s="20"/>
      <c r="FA112" s="18"/>
    </row>
    <row r="113" spans="32:157" x14ac:dyDescent="0.3">
      <c r="AT113" s="44" t="str">
        <f t="shared" si="103"/>
        <v>14_26B.L8.IOV</v>
      </c>
      <c r="AU113" s="18" t="s">
        <v>68</v>
      </c>
      <c r="AV113" s="18" t="s">
        <v>512</v>
      </c>
      <c r="AW113" s="20" t="s">
        <v>1011</v>
      </c>
      <c r="AX113" s="228">
        <v>1220115</v>
      </c>
      <c r="AY113" s="229">
        <v>94</v>
      </c>
      <c r="BA113" s="91"/>
      <c r="CK113" s="160"/>
      <c r="CL113" s="18"/>
      <c r="CM113" s="18"/>
      <c r="CN113" s="18"/>
      <c r="CO113" s="23"/>
      <c r="CP113" s="226"/>
      <c r="CQ113" s="23"/>
      <c r="CT113" s="23"/>
      <c r="CU113" s="177" t="str">
        <f t="shared" si="106"/>
        <v>LF LL 1220115</v>
      </c>
      <c r="CV113" s="13" t="s">
        <v>909</v>
      </c>
      <c r="CW113" s="13">
        <f t="shared" ref="CW113:CW127" si="112">INDEX($DJ$106:$DP$295,MATCH($CV113,$DJ$106:$DJ$295,0),5)</f>
        <v>1120</v>
      </c>
      <c r="CX113" s="13">
        <f t="shared" si="111"/>
        <v>504</v>
      </c>
      <c r="CY113" s="13">
        <f t="shared" si="111"/>
        <v>476</v>
      </c>
      <c r="CZ113" s="13">
        <f t="shared" si="111"/>
        <v>729</v>
      </c>
      <c r="DA113" s="13">
        <f t="shared" si="111"/>
        <v>504</v>
      </c>
      <c r="DB113" s="13">
        <f t="shared" si="111"/>
        <v>476</v>
      </c>
      <c r="DC113" s="13">
        <f t="shared" si="111"/>
        <v>476</v>
      </c>
      <c r="DD113" s="13">
        <f t="shared" si="111"/>
        <v>525</v>
      </c>
      <c r="DE113" s="13">
        <f t="shared" si="110"/>
        <v>420</v>
      </c>
      <c r="DF113" s="13">
        <f t="shared" si="110"/>
        <v>420</v>
      </c>
      <c r="DG113" s="13">
        <f t="shared" si="108"/>
        <v>729</v>
      </c>
      <c r="DH113" s="13">
        <v>1220115</v>
      </c>
      <c r="DI113" s="90" t="s">
        <v>1168</v>
      </c>
      <c r="DJ113" s="232" t="s">
        <v>909</v>
      </c>
      <c r="DK113" s="234" t="s">
        <v>233</v>
      </c>
      <c r="DL113" s="234" t="s">
        <v>300</v>
      </c>
      <c r="DM113" s="235">
        <v>44576</v>
      </c>
      <c r="DN113" s="236">
        <v>1120</v>
      </c>
      <c r="DO113" s="237">
        <v>504</v>
      </c>
      <c r="DP113" s="236">
        <v>729</v>
      </c>
      <c r="DQ113" s="13"/>
      <c r="DR113" s="13"/>
      <c r="DT113" s="203"/>
      <c r="EF113" s="21"/>
      <c r="EG113" s="18"/>
      <c r="EH113" s="18"/>
      <c r="EI113" s="23"/>
      <c r="EX113" s="27"/>
      <c r="EY113" s="18"/>
      <c r="EZ113" s="20"/>
      <c r="FA113" s="18"/>
    </row>
    <row r="114" spans="32:157" x14ac:dyDescent="0.3">
      <c r="AT114" s="44" t="str">
        <f t="shared" si="103"/>
        <v>15_16F.L8.IOV</v>
      </c>
      <c r="AU114" s="18" t="s">
        <v>68</v>
      </c>
      <c r="AV114" s="18" t="s">
        <v>698</v>
      </c>
      <c r="AW114" s="20" t="s">
        <v>1011</v>
      </c>
      <c r="AX114" s="228">
        <v>1220115</v>
      </c>
      <c r="AY114" s="229">
        <v>243</v>
      </c>
      <c r="BA114" s="91"/>
      <c r="CK114" s="160"/>
      <c r="CL114" s="18"/>
      <c r="CM114" s="18"/>
      <c r="CN114" s="18"/>
      <c r="CO114" s="23"/>
      <c r="CP114" s="226"/>
      <c r="CQ114" s="23"/>
      <c r="CT114" s="23"/>
      <c r="CU114" s="177" t="str">
        <f t="shared" si="106"/>
        <v>LT LL 1220115</v>
      </c>
      <c r="CV114" s="13" t="s">
        <v>896</v>
      </c>
      <c r="CW114" s="13">
        <f t="shared" si="112"/>
        <v>880</v>
      </c>
      <c r="CX114" s="13">
        <f t="shared" si="111"/>
        <v>396</v>
      </c>
      <c r="CY114" s="13">
        <f t="shared" si="111"/>
        <v>374</v>
      </c>
      <c r="CZ114" s="13">
        <f t="shared" si="111"/>
        <v>569</v>
      </c>
      <c r="DA114" s="13">
        <f t="shared" si="111"/>
        <v>396</v>
      </c>
      <c r="DB114" s="13">
        <f t="shared" si="111"/>
        <v>374</v>
      </c>
      <c r="DC114" s="13">
        <f t="shared" si="111"/>
        <v>374</v>
      </c>
      <c r="DD114" s="13">
        <f t="shared" si="111"/>
        <v>412.5</v>
      </c>
      <c r="DE114" s="13">
        <f t="shared" si="110"/>
        <v>330</v>
      </c>
      <c r="DF114" s="13">
        <f t="shared" si="110"/>
        <v>330</v>
      </c>
      <c r="DG114" s="13">
        <f t="shared" si="108"/>
        <v>569</v>
      </c>
      <c r="DH114" s="13">
        <v>1220115</v>
      </c>
      <c r="DI114" s="90" t="s">
        <v>1169</v>
      </c>
      <c r="DJ114" s="232" t="s">
        <v>909</v>
      </c>
      <c r="DK114" s="234" t="s">
        <v>233</v>
      </c>
      <c r="DL114" s="234" t="s">
        <v>262</v>
      </c>
      <c r="DM114" s="235">
        <v>44576</v>
      </c>
      <c r="DN114" s="236">
        <v>1120</v>
      </c>
      <c r="DO114" s="237">
        <v>476</v>
      </c>
      <c r="DP114" s="236">
        <v>729</v>
      </c>
      <c r="DQ114" s="13"/>
      <c r="DR114" s="13"/>
      <c r="DT114" s="203"/>
      <c r="EF114" s="19"/>
      <c r="EG114" s="18"/>
      <c r="EH114" s="18"/>
      <c r="EI114" s="19"/>
      <c r="EX114" s="27"/>
      <c r="EY114" s="18"/>
      <c r="EZ114" s="20"/>
      <c r="FA114" s="18"/>
    </row>
    <row r="115" spans="32:157" x14ac:dyDescent="0.3">
      <c r="AT115" s="44" t="str">
        <f t="shared" si="103"/>
        <v>16_16F.L8.IOV</v>
      </c>
      <c r="AU115" s="18" t="s">
        <v>68</v>
      </c>
      <c r="AV115" s="18" t="s">
        <v>714</v>
      </c>
      <c r="AW115" s="20" t="s">
        <v>1011</v>
      </c>
      <c r="AX115" s="228">
        <v>1220115</v>
      </c>
      <c r="AY115" s="229">
        <v>243</v>
      </c>
      <c r="BA115" s="91"/>
      <c r="CK115" s="160"/>
      <c r="CL115" s="18"/>
      <c r="CM115" s="18"/>
      <c r="CN115" s="18"/>
      <c r="CO115" s="23"/>
      <c r="CP115" s="226"/>
      <c r="CQ115" s="23"/>
      <c r="CR115" s="161"/>
      <c r="CS115" s="23"/>
      <c r="CT115" s="23"/>
      <c r="CU115" s="177" t="str">
        <f t="shared" ref="CU115:CU127" si="113">CONCATENATE(DI115," ",DH115)</f>
        <v>LS LL 1220115</v>
      </c>
      <c r="CV115" s="13" t="s">
        <v>922</v>
      </c>
      <c r="CW115" s="13">
        <f t="shared" si="112"/>
        <v>840</v>
      </c>
      <c r="CX115" s="13">
        <f t="shared" si="111"/>
        <v>378</v>
      </c>
      <c r="CY115" s="13">
        <f t="shared" si="111"/>
        <v>357</v>
      </c>
      <c r="CZ115" s="13">
        <f t="shared" si="111"/>
        <v>549</v>
      </c>
      <c r="DA115" s="13">
        <f t="shared" si="111"/>
        <v>378</v>
      </c>
      <c r="DB115" s="13">
        <f t="shared" si="111"/>
        <v>357</v>
      </c>
      <c r="DC115" s="13">
        <f t="shared" si="111"/>
        <v>357</v>
      </c>
      <c r="DD115" s="13">
        <f t="shared" si="111"/>
        <v>393.75</v>
      </c>
      <c r="DE115" s="13">
        <f t="shared" si="110"/>
        <v>315</v>
      </c>
      <c r="DF115" s="13">
        <f t="shared" si="110"/>
        <v>315</v>
      </c>
      <c r="DG115" s="13">
        <f t="shared" si="108"/>
        <v>549</v>
      </c>
      <c r="DH115" s="13">
        <v>1220115</v>
      </c>
      <c r="DI115" s="90" t="s">
        <v>1170</v>
      </c>
      <c r="DJ115" s="232" t="s">
        <v>909</v>
      </c>
      <c r="DK115" s="234" t="s">
        <v>233</v>
      </c>
      <c r="DL115" s="234" t="s">
        <v>1146</v>
      </c>
      <c r="DM115" s="235">
        <v>44576</v>
      </c>
      <c r="DN115" s="236">
        <v>1120</v>
      </c>
      <c r="DO115" s="237">
        <v>729</v>
      </c>
      <c r="DP115" s="236">
        <v>729</v>
      </c>
      <c r="DQ115" s="13"/>
      <c r="DR115" s="13"/>
      <c r="EF115" s="19"/>
      <c r="EG115" s="18"/>
      <c r="EH115" s="18"/>
      <c r="EI115" s="18"/>
      <c r="EX115" s="27"/>
      <c r="EY115" s="18"/>
      <c r="EZ115" s="20"/>
      <c r="FA115" s="18"/>
    </row>
    <row r="116" spans="32:157" x14ac:dyDescent="0.3">
      <c r="AT116" s="44" t="str">
        <f t="shared" si="103"/>
        <v>16_16T.L8.IOV</v>
      </c>
      <c r="AU116" s="18" t="s">
        <v>68</v>
      </c>
      <c r="AV116" s="18" t="s">
        <v>985</v>
      </c>
      <c r="AW116" s="20" t="s">
        <v>1011</v>
      </c>
      <c r="AX116" s="228">
        <v>1220115</v>
      </c>
      <c r="AY116" s="229">
        <v>243</v>
      </c>
      <c r="BA116" s="91"/>
      <c r="CK116" s="160"/>
      <c r="CL116" s="18"/>
      <c r="CM116" s="18"/>
      <c r="CN116" s="18"/>
      <c r="CO116" s="23"/>
      <c r="CP116" s="226"/>
      <c r="CQ116" s="23"/>
      <c r="CR116" s="161"/>
      <c r="CS116" s="23"/>
      <c r="CT116" s="23"/>
      <c r="CU116" s="177" t="str">
        <f t="shared" si="113"/>
        <v>LB LX 1220115</v>
      </c>
      <c r="CV116" s="13" t="s">
        <v>885</v>
      </c>
      <c r="CW116" s="13">
        <f t="shared" si="112"/>
        <v>2160</v>
      </c>
      <c r="CX116" s="13">
        <f t="shared" si="111"/>
        <v>972</v>
      </c>
      <c r="CY116" s="13">
        <f t="shared" si="111"/>
        <v>918</v>
      </c>
      <c r="CZ116" s="13">
        <f t="shared" si="111"/>
        <v>1409</v>
      </c>
      <c r="DA116" s="13">
        <f t="shared" si="111"/>
        <v>972</v>
      </c>
      <c r="DB116" s="13">
        <f t="shared" si="111"/>
        <v>918</v>
      </c>
      <c r="DC116" s="13">
        <f t="shared" si="111"/>
        <v>918</v>
      </c>
      <c r="DD116" s="13">
        <f t="shared" si="111"/>
        <v>1012.5</v>
      </c>
      <c r="DE116" s="13">
        <f t="shared" si="110"/>
        <v>810</v>
      </c>
      <c r="DF116" s="13">
        <f t="shared" si="110"/>
        <v>810</v>
      </c>
      <c r="DG116" s="13">
        <f t="shared" si="108"/>
        <v>1409</v>
      </c>
      <c r="DH116" s="13">
        <v>1220115</v>
      </c>
      <c r="DI116" s="90" t="s">
        <v>1171</v>
      </c>
      <c r="DJ116" s="232" t="s">
        <v>909</v>
      </c>
      <c r="DK116" s="234" t="s">
        <v>233</v>
      </c>
      <c r="DL116" s="234" t="s">
        <v>1149</v>
      </c>
      <c r="DM116" s="235">
        <v>44576</v>
      </c>
      <c r="DN116" s="236">
        <v>1120</v>
      </c>
      <c r="DO116" s="237">
        <v>476</v>
      </c>
      <c r="DP116" s="236">
        <v>729</v>
      </c>
      <c r="DQ116" s="13"/>
      <c r="DR116" s="13"/>
      <c r="EF116" s="19"/>
      <c r="EG116" s="18"/>
      <c r="EH116" s="18"/>
      <c r="EI116" s="18"/>
      <c r="EX116" s="27"/>
      <c r="EY116" s="18"/>
      <c r="EZ116" s="20"/>
      <c r="FA116" s="18"/>
    </row>
    <row r="117" spans="32:157" x14ac:dyDescent="0.3">
      <c r="AT117" s="44" t="str">
        <f t="shared" si="103"/>
        <v>16_18B.L8.IOV</v>
      </c>
      <c r="AU117" s="18" t="s">
        <v>68</v>
      </c>
      <c r="AV117" s="18" t="s">
        <v>186</v>
      </c>
      <c r="AW117" s="20" t="s">
        <v>1011</v>
      </c>
      <c r="AX117" s="228">
        <v>1220115</v>
      </c>
      <c r="AY117" s="229">
        <v>186</v>
      </c>
      <c r="BA117" s="91"/>
      <c r="CK117" s="160"/>
      <c r="CL117" s="18"/>
      <c r="CM117" s="18"/>
      <c r="CN117" s="18"/>
      <c r="CO117" s="23"/>
      <c r="CP117" s="226"/>
      <c r="CQ117" s="23"/>
      <c r="CR117" s="162"/>
      <c r="CS117" s="23"/>
      <c r="CT117" s="23"/>
      <c r="CU117" s="177" t="str">
        <f t="shared" si="113"/>
        <v>LF LX 1220115</v>
      </c>
      <c r="CV117" s="13" t="s">
        <v>911</v>
      </c>
      <c r="CW117" s="13">
        <f t="shared" si="112"/>
        <v>2000</v>
      </c>
      <c r="CX117" s="13">
        <f t="shared" si="111"/>
        <v>900</v>
      </c>
      <c r="CY117" s="13">
        <f t="shared" si="111"/>
        <v>850</v>
      </c>
      <c r="CZ117" s="13">
        <f t="shared" si="111"/>
        <v>1329</v>
      </c>
      <c r="DA117" s="13">
        <f t="shared" si="111"/>
        <v>900</v>
      </c>
      <c r="DB117" s="13">
        <f t="shared" si="111"/>
        <v>850</v>
      </c>
      <c r="DC117" s="13">
        <f t="shared" si="111"/>
        <v>850</v>
      </c>
      <c r="DD117" s="13">
        <f t="shared" si="111"/>
        <v>937.5</v>
      </c>
      <c r="DE117" s="13">
        <f t="shared" si="110"/>
        <v>750</v>
      </c>
      <c r="DF117" s="13">
        <f t="shared" si="110"/>
        <v>750</v>
      </c>
      <c r="DG117" s="13">
        <f t="shared" si="108"/>
        <v>1329</v>
      </c>
      <c r="DH117" s="13">
        <v>1220115</v>
      </c>
      <c r="DI117" s="90" t="s">
        <v>1172</v>
      </c>
      <c r="DJ117" s="232" t="s">
        <v>909</v>
      </c>
      <c r="DK117" s="234" t="s">
        <v>233</v>
      </c>
      <c r="DL117" s="234" t="s">
        <v>1147</v>
      </c>
      <c r="DM117" s="235">
        <v>44576</v>
      </c>
      <c r="DN117" s="236">
        <v>1120</v>
      </c>
      <c r="DO117" s="237">
        <v>504</v>
      </c>
      <c r="DP117" s="236">
        <v>729</v>
      </c>
      <c r="DQ117" s="13"/>
      <c r="DR117" s="13"/>
      <c r="EF117" s="19"/>
      <c r="EG117" s="18"/>
      <c r="EH117" s="18"/>
      <c r="EI117" s="18"/>
      <c r="EX117" s="27"/>
      <c r="EY117" s="18"/>
      <c r="EZ117" s="20"/>
      <c r="FA117" s="18"/>
    </row>
    <row r="118" spans="32:157" x14ac:dyDescent="0.3">
      <c r="AT118" s="44" t="str">
        <f t="shared" si="103"/>
        <v>16_18F.L8.IOV</v>
      </c>
      <c r="AU118" s="18" t="s">
        <v>68</v>
      </c>
      <c r="AV118" s="18" t="s">
        <v>726</v>
      </c>
      <c r="AW118" s="20" t="s">
        <v>1011</v>
      </c>
      <c r="AX118" s="228">
        <v>1220115</v>
      </c>
      <c r="AY118" s="229">
        <v>186</v>
      </c>
      <c r="BA118" s="91"/>
      <c r="CK118" s="160"/>
      <c r="CL118" s="18"/>
      <c r="CM118" s="18"/>
      <c r="CN118" s="18"/>
      <c r="CO118" s="23"/>
      <c r="CP118" s="226"/>
      <c r="CQ118" s="23"/>
      <c r="CT118" s="23"/>
      <c r="CU118" s="177" t="str">
        <f t="shared" si="113"/>
        <v>LT LX 1220115</v>
      </c>
      <c r="CV118" s="13" t="s">
        <v>898</v>
      </c>
      <c r="CW118" s="13">
        <f t="shared" si="112"/>
        <v>1944</v>
      </c>
      <c r="CX118" s="13">
        <f t="shared" si="111"/>
        <v>874.8</v>
      </c>
      <c r="CY118" s="13">
        <f t="shared" si="111"/>
        <v>826.2</v>
      </c>
      <c r="CZ118" s="13">
        <f t="shared" si="111"/>
        <v>1259</v>
      </c>
      <c r="DA118" s="13">
        <f t="shared" si="111"/>
        <v>874.8</v>
      </c>
      <c r="DB118" s="13">
        <f t="shared" si="111"/>
        <v>826.2</v>
      </c>
      <c r="DC118" s="13">
        <f t="shared" si="111"/>
        <v>826.2</v>
      </c>
      <c r="DD118" s="13">
        <f t="shared" si="111"/>
        <v>911.25</v>
      </c>
      <c r="DE118" s="13">
        <f t="shared" si="110"/>
        <v>729</v>
      </c>
      <c r="DF118" s="13">
        <f t="shared" si="110"/>
        <v>729</v>
      </c>
      <c r="DG118" s="13">
        <f t="shared" si="108"/>
        <v>1259</v>
      </c>
      <c r="DH118" s="13">
        <v>1220115</v>
      </c>
      <c r="DI118" s="90" t="s">
        <v>1173</v>
      </c>
      <c r="DJ118" s="232" t="s">
        <v>909</v>
      </c>
      <c r="DK118" s="234" t="s">
        <v>233</v>
      </c>
      <c r="DL118" s="234" t="s">
        <v>1148</v>
      </c>
      <c r="DM118" s="235">
        <v>44576</v>
      </c>
      <c r="DN118" s="236">
        <v>1120</v>
      </c>
      <c r="DO118" s="237">
        <v>476</v>
      </c>
      <c r="DP118" s="236">
        <v>729</v>
      </c>
      <c r="DQ118" s="13"/>
      <c r="DR118" s="13"/>
      <c r="DT118" s="203"/>
      <c r="EF118" s="22"/>
      <c r="EG118" s="23"/>
      <c r="EH118" s="23"/>
      <c r="EI118" s="18"/>
      <c r="EX118" s="27"/>
      <c r="EY118" s="18"/>
      <c r="EZ118" s="20"/>
      <c r="FA118" s="18"/>
    </row>
    <row r="119" spans="32:157" x14ac:dyDescent="0.3">
      <c r="AT119" s="44" t="str">
        <f t="shared" si="103"/>
        <v>16_18T.L8.IOV</v>
      </c>
      <c r="AU119" s="18" t="s">
        <v>68</v>
      </c>
      <c r="AV119" s="18" t="s">
        <v>1174</v>
      </c>
      <c r="AW119" s="20" t="s">
        <v>1011</v>
      </c>
      <c r="AX119" s="228">
        <v>1220115</v>
      </c>
      <c r="AY119" s="229">
        <v>186</v>
      </c>
      <c r="BA119" s="91"/>
      <c r="CK119" s="160"/>
      <c r="CL119" s="18"/>
      <c r="CM119" s="18"/>
      <c r="CN119" s="18"/>
      <c r="CO119" s="23"/>
      <c r="CP119" s="226"/>
      <c r="CQ119" s="23"/>
      <c r="CT119" s="23"/>
      <c r="CU119" s="177" t="str">
        <f t="shared" si="113"/>
        <v>LS LX 1220115</v>
      </c>
      <c r="CV119" s="13" t="s">
        <v>924</v>
      </c>
      <c r="CW119" s="13">
        <f t="shared" si="112"/>
        <v>1304</v>
      </c>
      <c r="CX119" s="13">
        <f t="shared" si="111"/>
        <v>586.79999999999995</v>
      </c>
      <c r="CY119" s="13">
        <f t="shared" si="111"/>
        <v>554.20000000000005</v>
      </c>
      <c r="CZ119" s="13">
        <f t="shared" si="111"/>
        <v>849</v>
      </c>
      <c r="DA119" s="13">
        <f t="shared" si="111"/>
        <v>586.79999999999995</v>
      </c>
      <c r="DB119" s="13">
        <f t="shared" si="111"/>
        <v>554.20000000000005</v>
      </c>
      <c r="DC119" s="13">
        <f t="shared" si="111"/>
        <v>554.20000000000005</v>
      </c>
      <c r="DD119" s="13">
        <f t="shared" si="111"/>
        <v>611.25</v>
      </c>
      <c r="DE119" s="13">
        <f t="shared" si="110"/>
        <v>489</v>
      </c>
      <c r="DF119" s="13">
        <f t="shared" si="110"/>
        <v>489</v>
      </c>
      <c r="DG119" s="13">
        <f t="shared" si="108"/>
        <v>849</v>
      </c>
      <c r="DH119" s="13">
        <v>1220115</v>
      </c>
      <c r="DI119" s="90" t="s">
        <v>1175</v>
      </c>
      <c r="DJ119" s="232" t="s">
        <v>922</v>
      </c>
      <c r="DK119" s="234" t="s">
        <v>233</v>
      </c>
      <c r="DL119" s="234" t="s">
        <v>300</v>
      </c>
      <c r="DM119" s="235">
        <v>44576</v>
      </c>
      <c r="DN119" s="236">
        <v>840</v>
      </c>
      <c r="DO119" s="237">
        <v>378</v>
      </c>
      <c r="DP119" s="236">
        <v>549</v>
      </c>
      <c r="DQ119" s="13"/>
      <c r="DR119" s="13"/>
      <c r="DT119" s="203"/>
      <c r="EF119" s="19"/>
      <c r="EG119" s="18"/>
      <c r="EH119" s="18"/>
      <c r="EI119" s="18"/>
      <c r="EX119" s="27"/>
      <c r="EY119" s="18"/>
      <c r="EZ119" s="20"/>
      <c r="FA119" s="18"/>
    </row>
    <row r="120" spans="32:157" x14ac:dyDescent="0.3">
      <c r="AT120" s="44" t="str">
        <f t="shared" si="103"/>
        <v>16_20B.L8.IOV</v>
      </c>
      <c r="AU120" s="18" t="s">
        <v>68</v>
      </c>
      <c r="AV120" s="18" t="s">
        <v>293</v>
      </c>
      <c r="AW120" s="20" t="s">
        <v>1011</v>
      </c>
      <c r="AX120" s="228">
        <v>1220115</v>
      </c>
      <c r="AY120" s="229">
        <v>189</v>
      </c>
      <c r="BA120" s="91"/>
      <c r="CK120" s="160"/>
      <c r="CL120" s="18"/>
      <c r="CM120" s="18"/>
      <c r="CN120" s="18"/>
      <c r="CO120" s="23"/>
      <c r="CP120" s="226"/>
      <c r="CQ120" s="23"/>
      <c r="CT120" s="23"/>
      <c r="CU120" s="177" t="str">
        <f t="shared" si="113"/>
        <v>LB LM 1220115</v>
      </c>
      <c r="CV120" s="13" t="s">
        <v>884</v>
      </c>
      <c r="CW120" s="13">
        <f t="shared" si="112"/>
        <v>1840</v>
      </c>
      <c r="CX120" s="13">
        <f t="shared" si="111"/>
        <v>828</v>
      </c>
      <c r="CY120" s="13">
        <f t="shared" si="111"/>
        <v>782</v>
      </c>
      <c r="CZ120" s="13">
        <f t="shared" si="111"/>
        <v>1189</v>
      </c>
      <c r="DA120" s="13">
        <f t="shared" si="111"/>
        <v>828</v>
      </c>
      <c r="DB120" s="13">
        <f t="shared" si="111"/>
        <v>782</v>
      </c>
      <c r="DC120" s="13">
        <f t="shared" si="111"/>
        <v>782</v>
      </c>
      <c r="DD120" s="13">
        <f t="shared" si="111"/>
        <v>862.5</v>
      </c>
      <c r="DE120" s="13">
        <f t="shared" si="110"/>
        <v>690</v>
      </c>
      <c r="DF120" s="13">
        <f t="shared" si="110"/>
        <v>690</v>
      </c>
      <c r="DG120" s="13">
        <f t="shared" si="108"/>
        <v>1189</v>
      </c>
      <c r="DH120" s="13">
        <v>1220115</v>
      </c>
      <c r="DI120" s="90" t="s">
        <v>1176</v>
      </c>
      <c r="DJ120" s="232" t="s">
        <v>922</v>
      </c>
      <c r="DK120" s="234" t="s">
        <v>233</v>
      </c>
      <c r="DL120" s="234" t="s">
        <v>262</v>
      </c>
      <c r="DM120" s="235">
        <v>44576</v>
      </c>
      <c r="DN120" s="236">
        <v>840</v>
      </c>
      <c r="DO120" s="237">
        <v>357</v>
      </c>
      <c r="DP120" s="236">
        <v>549</v>
      </c>
      <c r="DQ120" s="13"/>
      <c r="DR120" s="13"/>
      <c r="EF120" s="19"/>
      <c r="EG120" s="18"/>
      <c r="EH120" s="18"/>
      <c r="EI120" s="18"/>
      <c r="EX120" s="27"/>
      <c r="EY120" s="18"/>
      <c r="EZ120" s="20"/>
      <c r="FA120" s="18"/>
    </row>
    <row r="121" spans="32:157" x14ac:dyDescent="0.3">
      <c r="AT121" s="44" t="str">
        <f t="shared" si="103"/>
        <v>16_22B.L8.IOV</v>
      </c>
      <c r="AU121" s="18" t="s">
        <v>68</v>
      </c>
      <c r="AV121" s="18" t="s">
        <v>365</v>
      </c>
      <c r="AW121" s="20" t="s">
        <v>1011</v>
      </c>
      <c r="AX121" s="228">
        <v>1220115</v>
      </c>
      <c r="AY121" s="229">
        <v>94</v>
      </c>
      <c r="BA121" s="91"/>
      <c r="CK121" s="160"/>
      <c r="CL121" s="18"/>
      <c r="CM121" s="18"/>
      <c r="CN121" s="18"/>
      <c r="CO121" s="23"/>
      <c r="CP121" s="226"/>
      <c r="CQ121" s="23"/>
      <c r="CT121" s="23"/>
      <c r="CU121" s="177" t="str">
        <f t="shared" si="113"/>
        <v>LF LM 1220115</v>
      </c>
      <c r="CV121" s="13" t="s">
        <v>910</v>
      </c>
      <c r="CW121" s="13">
        <f t="shared" si="112"/>
        <v>1200</v>
      </c>
      <c r="CX121" s="13">
        <f t="shared" si="111"/>
        <v>540</v>
      </c>
      <c r="CY121" s="13">
        <f t="shared" si="111"/>
        <v>510</v>
      </c>
      <c r="CZ121" s="13">
        <f t="shared" si="111"/>
        <v>729</v>
      </c>
      <c r="DA121" s="13">
        <f t="shared" si="111"/>
        <v>540</v>
      </c>
      <c r="DB121" s="13">
        <f t="shared" si="111"/>
        <v>510</v>
      </c>
      <c r="DC121" s="13">
        <f t="shared" si="111"/>
        <v>510</v>
      </c>
      <c r="DD121" s="13">
        <f t="shared" si="111"/>
        <v>562.5</v>
      </c>
      <c r="DE121" s="13">
        <f t="shared" si="110"/>
        <v>450</v>
      </c>
      <c r="DF121" s="13">
        <f t="shared" si="110"/>
        <v>450</v>
      </c>
      <c r="DG121" s="13">
        <f t="shared" ref="DG121:DG127" si="114">INDEX($DJ$106:$DP$295,MATCH($CV121,$DJ$106:$DJ$295,0),7)</f>
        <v>729</v>
      </c>
      <c r="DH121" s="13">
        <v>1220115</v>
      </c>
      <c r="DI121" s="90" t="s">
        <v>1177</v>
      </c>
      <c r="DJ121" s="232" t="s">
        <v>922</v>
      </c>
      <c r="DK121" s="234" t="s">
        <v>233</v>
      </c>
      <c r="DL121" s="234" t="s">
        <v>1146</v>
      </c>
      <c r="DM121" s="235">
        <v>44576</v>
      </c>
      <c r="DN121" s="236">
        <v>840</v>
      </c>
      <c r="DO121" s="237">
        <v>549</v>
      </c>
      <c r="DP121" s="236">
        <v>549</v>
      </c>
      <c r="DQ121" s="13"/>
      <c r="DR121" s="13"/>
      <c r="EF121" s="19"/>
      <c r="EG121" s="18"/>
      <c r="EH121" s="18"/>
      <c r="EI121" s="18"/>
      <c r="EX121" s="27"/>
      <c r="EY121" s="18"/>
      <c r="EZ121" s="20"/>
      <c r="FA121" s="18"/>
    </row>
    <row r="122" spans="32:157" x14ac:dyDescent="0.3">
      <c r="AT122" s="44" t="str">
        <f t="shared" si="103"/>
        <v>16_24B.L8.IOV</v>
      </c>
      <c r="AU122" s="18" t="s">
        <v>68</v>
      </c>
      <c r="AV122" s="18" t="s">
        <v>444</v>
      </c>
      <c r="AW122" s="20" t="s">
        <v>1011</v>
      </c>
      <c r="AX122" s="228">
        <v>1220115</v>
      </c>
      <c r="AY122" s="229">
        <v>94</v>
      </c>
      <c r="BA122" s="91"/>
      <c r="CK122" s="160"/>
      <c r="CL122" s="18"/>
      <c r="CM122" s="18"/>
      <c r="CN122" s="18"/>
      <c r="CO122" s="23"/>
      <c r="CP122" s="226"/>
      <c r="CQ122" s="23"/>
      <c r="CT122" s="23"/>
      <c r="CU122" s="177" t="str">
        <f t="shared" si="113"/>
        <v>LT LM 1220115</v>
      </c>
      <c r="CV122" s="13" t="s">
        <v>897</v>
      </c>
      <c r="CW122" s="13">
        <f t="shared" si="112"/>
        <v>880</v>
      </c>
      <c r="CX122" s="13">
        <f t="shared" si="111"/>
        <v>396</v>
      </c>
      <c r="CY122" s="13">
        <f t="shared" si="111"/>
        <v>374</v>
      </c>
      <c r="CZ122" s="13">
        <f t="shared" si="111"/>
        <v>569</v>
      </c>
      <c r="DA122" s="13">
        <f t="shared" si="111"/>
        <v>396</v>
      </c>
      <c r="DB122" s="13">
        <f t="shared" si="111"/>
        <v>374</v>
      </c>
      <c r="DC122" s="13">
        <f t="shared" si="111"/>
        <v>374</v>
      </c>
      <c r="DD122" s="13">
        <f t="shared" si="111"/>
        <v>412.5</v>
      </c>
      <c r="DE122" s="13">
        <f t="shared" si="110"/>
        <v>330</v>
      </c>
      <c r="DF122" s="13">
        <f t="shared" si="110"/>
        <v>330</v>
      </c>
      <c r="DG122" s="13">
        <f t="shared" si="114"/>
        <v>569</v>
      </c>
      <c r="DH122" s="13">
        <v>1220115</v>
      </c>
      <c r="DI122" s="90" t="s">
        <v>1178</v>
      </c>
      <c r="DJ122" s="232" t="s">
        <v>922</v>
      </c>
      <c r="DK122" s="234" t="s">
        <v>233</v>
      </c>
      <c r="DL122" s="234" t="s">
        <v>1149</v>
      </c>
      <c r="DM122" s="235">
        <v>44576</v>
      </c>
      <c r="DN122" s="236">
        <v>840</v>
      </c>
      <c r="DO122" s="237">
        <v>357</v>
      </c>
      <c r="DP122" s="236">
        <v>549</v>
      </c>
      <c r="DQ122" s="13"/>
      <c r="DR122" s="13"/>
      <c r="EF122" s="19"/>
      <c r="EG122" s="18"/>
      <c r="EH122" s="18"/>
      <c r="EI122" s="20"/>
      <c r="EX122" s="27"/>
      <c r="EY122" s="18"/>
      <c r="EZ122" s="20"/>
      <c r="FA122" s="18"/>
    </row>
    <row r="123" spans="32:157" x14ac:dyDescent="0.3">
      <c r="AT123" s="44" t="str">
        <f t="shared" si="103"/>
        <v>16_26B.L8.IOV</v>
      </c>
      <c r="AU123" s="18" t="s">
        <v>68</v>
      </c>
      <c r="AV123" s="18" t="s">
        <v>532</v>
      </c>
      <c r="AW123" s="20" t="s">
        <v>1011</v>
      </c>
      <c r="AX123" s="228">
        <v>1220115</v>
      </c>
      <c r="AY123" s="229">
        <v>94</v>
      </c>
      <c r="BA123" s="91"/>
      <c r="CK123" s="160"/>
      <c r="CL123" s="18"/>
      <c r="CM123" s="18"/>
      <c r="CN123" s="18"/>
      <c r="CO123" s="23"/>
      <c r="CP123" s="226"/>
      <c r="CQ123" s="23"/>
      <c r="CT123" s="23"/>
      <c r="CU123" s="177" t="str">
        <f t="shared" si="113"/>
        <v>LS LM 1220115</v>
      </c>
      <c r="CV123" s="13" t="s">
        <v>923</v>
      </c>
      <c r="CW123" s="13">
        <f t="shared" si="112"/>
        <v>840</v>
      </c>
      <c r="CX123" s="13">
        <f t="shared" si="111"/>
        <v>378</v>
      </c>
      <c r="CY123" s="13">
        <f t="shared" si="111"/>
        <v>357</v>
      </c>
      <c r="CZ123" s="13">
        <f t="shared" si="111"/>
        <v>549</v>
      </c>
      <c r="DA123" s="13">
        <f t="shared" si="111"/>
        <v>378</v>
      </c>
      <c r="DB123" s="13">
        <f t="shared" si="111"/>
        <v>357</v>
      </c>
      <c r="DC123" s="13">
        <f t="shared" si="111"/>
        <v>357</v>
      </c>
      <c r="DD123" s="13">
        <f t="shared" si="111"/>
        <v>393.75</v>
      </c>
      <c r="DE123" s="13">
        <f t="shared" si="110"/>
        <v>315</v>
      </c>
      <c r="DF123" s="13">
        <f t="shared" si="110"/>
        <v>315</v>
      </c>
      <c r="DG123" s="13">
        <f t="shared" si="114"/>
        <v>549</v>
      </c>
      <c r="DH123" s="13">
        <v>1220115</v>
      </c>
      <c r="DI123" s="90" t="s">
        <v>1179</v>
      </c>
      <c r="DJ123" s="232" t="s">
        <v>922</v>
      </c>
      <c r="DK123" s="234" t="s">
        <v>233</v>
      </c>
      <c r="DL123" s="234" t="s">
        <v>1147</v>
      </c>
      <c r="DM123" s="235">
        <v>44576</v>
      </c>
      <c r="DN123" s="236">
        <v>840</v>
      </c>
      <c r="DO123" s="237">
        <v>378</v>
      </c>
      <c r="DP123" s="236">
        <v>549</v>
      </c>
      <c r="DQ123" s="13"/>
      <c r="DR123" s="13"/>
      <c r="EF123" s="19"/>
      <c r="EG123" s="18"/>
      <c r="EH123" s="18"/>
      <c r="EI123" s="18"/>
      <c r="EX123" s="27"/>
      <c r="EY123" s="18"/>
      <c r="EZ123" s="20"/>
      <c r="FA123" s="18"/>
    </row>
    <row r="124" spans="32:157" x14ac:dyDescent="0.3">
      <c r="AF124" s="4"/>
      <c r="AT124" s="44" t="str">
        <f t="shared" si="103"/>
        <v>18_20B.L8.IOV</v>
      </c>
      <c r="AU124" s="18" t="s">
        <v>68</v>
      </c>
      <c r="AV124" s="18" t="s">
        <v>312</v>
      </c>
      <c r="AW124" s="20" t="s">
        <v>1011</v>
      </c>
      <c r="AX124" s="228">
        <v>1220115</v>
      </c>
      <c r="AY124" s="229">
        <v>189</v>
      </c>
      <c r="BA124" s="91"/>
      <c r="CK124" s="160"/>
      <c r="CL124" s="18"/>
      <c r="CM124" s="18"/>
      <c r="CN124" s="18"/>
      <c r="CO124" s="23"/>
      <c r="CP124" s="226"/>
      <c r="CQ124" s="23"/>
      <c r="CT124" s="23"/>
      <c r="CU124" s="177" t="str">
        <f t="shared" si="113"/>
        <v>LB LO 1220115</v>
      </c>
      <c r="CV124" s="13" t="s">
        <v>886</v>
      </c>
      <c r="CW124" s="13">
        <f t="shared" si="112"/>
        <v>1568</v>
      </c>
      <c r="CX124" s="13">
        <f t="shared" si="111"/>
        <v>705.6</v>
      </c>
      <c r="CY124" s="13">
        <f t="shared" si="111"/>
        <v>666.4</v>
      </c>
      <c r="CZ124" s="13">
        <f t="shared" si="111"/>
        <v>1019</v>
      </c>
      <c r="DA124" s="13">
        <f t="shared" si="111"/>
        <v>705.6</v>
      </c>
      <c r="DB124" s="13">
        <f t="shared" si="111"/>
        <v>666.4</v>
      </c>
      <c r="DC124" s="13">
        <f t="shared" si="111"/>
        <v>666.4</v>
      </c>
      <c r="DD124" s="13">
        <f t="shared" si="111"/>
        <v>629.16</v>
      </c>
      <c r="DE124" s="13">
        <f t="shared" si="110"/>
        <v>588</v>
      </c>
      <c r="DF124" s="13">
        <f t="shared" si="110"/>
        <v>588</v>
      </c>
      <c r="DG124" s="13">
        <f t="shared" si="114"/>
        <v>1019</v>
      </c>
      <c r="DH124" s="13">
        <v>1220115</v>
      </c>
      <c r="DI124" s="90" t="s">
        <v>1180</v>
      </c>
      <c r="DJ124" s="232" t="s">
        <v>922</v>
      </c>
      <c r="DK124" s="234" t="s">
        <v>233</v>
      </c>
      <c r="DL124" s="234" t="s">
        <v>1148</v>
      </c>
      <c r="DM124" s="235">
        <v>44576</v>
      </c>
      <c r="DN124" s="236">
        <v>840</v>
      </c>
      <c r="DO124" s="237">
        <v>357</v>
      </c>
      <c r="DP124" s="236">
        <v>549</v>
      </c>
      <c r="DQ124" s="13"/>
      <c r="DR124" s="13"/>
      <c r="EF124" s="19"/>
      <c r="EG124" s="18"/>
      <c r="EH124" s="18"/>
      <c r="EI124" s="18"/>
      <c r="EX124" s="27"/>
      <c r="EY124" s="18"/>
      <c r="EZ124" s="20"/>
      <c r="FA124" s="18"/>
    </row>
    <row r="125" spans="32:157" x14ac:dyDescent="0.3">
      <c r="AT125" s="44" t="str">
        <f t="shared" si="103"/>
        <v>18_22B.L8.IOV</v>
      </c>
      <c r="AU125" s="18" t="s">
        <v>68</v>
      </c>
      <c r="AV125" s="18" t="s">
        <v>382</v>
      </c>
      <c r="AW125" s="20" t="s">
        <v>1011</v>
      </c>
      <c r="AX125" s="228">
        <v>1220115</v>
      </c>
      <c r="AY125" s="229">
        <v>94</v>
      </c>
      <c r="BA125" s="91"/>
      <c r="CK125" s="160"/>
      <c r="CL125" s="18"/>
      <c r="CM125" s="18"/>
      <c r="CN125" s="18"/>
      <c r="CO125" s="23"/>
      <c r="CP125" s="226"/>
      <c r="CQ125" s="23"/>
      <c r="CT125" s="23"/>
      <c r="CU125" s="177" t="str">
        <f t="shared" si="113"/>
        <v>LF LO 1220115</v>
      </c>
      <c r="CV125" s="13" t="s">
        <v>912</v>
      </c>
      <c r="CW125" s="13">
        <f t="shared" si="112"/>
        <v>998</v>
      </c>
      <c r="CX125" s="13">
        <f t="shared" si="111"/>
        <v>449.1</v>
      </c>
      <c r="CY125" s="13">
        <f t="shared" si="111"/>
        <v>424.15</v>
      </c>
      <c r="CZ125" s="13">
        <f t="shared" si="111"/>
        <v>649</v>
      </c>
      <c r="DA125" s="13">
        <f t="shared" si="111"/>
        <v>449.1</v>
      </c>
      <c r="DB125" s="13">
        <f t="shared" si="111"/>
        <v>424.15</v>
      </c>
      <c r="DC125" s="13">
        <f t="shared" si="111"/>
        <v>424.15</v>
      </c>
      <c r="DD125" s="13">
        <f t="shared" si="111"/>
        <v>400.45</v>
      </c>
      <c r="DE125" s="13">
        <f t="shared" si="110"/>
        <v>374.25</v>
      </c>
      <c r="DF125" s="13">
        <f t="shared" si="110"/>
        <v>374.25</v>
      </c>
      <c r="DG125" s="13">
        <f t="shared" si="114"/>
        <v>649</v>
      </c>
      <c r="DH125" s="13">
        <v>1220115</v>
      </c>
      <c r="DI125" s="90" t="s">
        <v>1181</v>
      </c>
      <c r="DJ125" s="232" t="s">
        <v>896</v>
      </c>
      <c r="DK125" s="234" t="s">
        <v>233</v>
      </c>
      <c r="DL125" s="234" t="s">
        <v>300</v>
      </c>
      <c r="DM125" s="235">
        <v>44576</v>
      </c>
      <c r="DN125" s="236">
        <v>880</v>
      </c>
      <c r="DO125" s="237">
        <v>396</v>
      </c>
      <c r="DP125" s="236">
        <v>569</v>
      </c>
      <c r="DQ125" s="13"/>
      <c r="DR125" s="13"/>
      <c r="DT125" s="203"/>
      <c r="EF125" s="19"/>
      <c r="EG125" s="18"/>
      <c r="EH125" s="18"/>
      <c r="EI125" s="20"/>
      <c r="EX125" s="27"/>
      <c r="EY125" s="18"/>
      <c r="EZ125" s="20"/>
      <c r="FA125" s="18"/>
    </row>
    <row r="126" spans="32:157" x14ac:dyDescent="0.3">
      <c r="AT126" s="44" t="str">
        <f t="shared" si="103"/>
        <v>18_24B.L8.IOV</v>
      </c>
      <c r="AU126" s="18" t="s">
        <v>68</v>
      </c>
      <c r="AV126" s="18" t="s">
        <v>461</v>
      </c>
      <c r="AW126" s="20" t="s">
        <v>1011</v>
      </c>
      <c r="AX126" s="228">
        <v>1220115</v>
      </c>
      <c r="AY126" s="229">
        <v>94</v>
      </c>
      <c r="BA126" s="91"/>
      <c r="CK126" s="160"/>
      <c r="CL126" s="18"/>
      <c r="CM126" s="18"/>
      <c r="CN126" s="18"/>
      <c r="CO126" s="23"/>
      <c r="CP126" s="226"/>
      <c r="CQ126" s="23"/>
      <c r="CT126" s="23"/>
      <c r="CU126" s="177" t="str">
        <f t="shared" si="113"/>
        <v>LT LO 1220115</v>
      </c>
      <c r="CV126" s="13" t="s">
        <v>899</v>
      </c>
      <c r="CW126" s="13">
        <f t="shared" si="112"/>
        <v>691</v>
      </c>
      <c r="CX126" s="13">
        <f t="shared" ref="CX126:DD127" si="115">SUMIFS($DO$106:$DO$295,$DJ$106:$DJ$295,$CV126,$DL$106:$DL$295,CX$107,$DK$106:$DK$295,CX$106)</f>
        <v>310.95</v>
      </c>
      <c r="CY126" s="13">
        <f t="shared" si="115"/>
        <v>293.68</v>
      </c>
      <c r="CZ126" s="13">
        <f t="shared" si="115"/>
        <v>449</v>
      </c>
      <c r="DA126" s="13">
        <f t="shared" si="115"/>
        <v>310.95</v>
      </c>
      <c r="DB126" s="13">
        <f t="shared" si="115"/>
        <v>293.68</v>
      </c>
      <c r="DC126" s="13">
        <f t="shared" si="115"/>
        <v>293.68</v>
      </c>
      <c r="DD126" s="13">
        <f t="shared" si="115"/>
        <v>277.26</v>
      </c>
      <c r="DE126" s="13">
        <f t="shared" si="110"/>
        <v>259.13</v>
      </c>
      <c r="DF126" s="13">
        <f t="shared" si="110"/>
        <v>259.13</v>
      </c>
      <c r="DG126" s="13">
        <f t="shared" si="114"/>
        <v>449</v>
      </c>
      <c r="DH126" s="13">
        <v>1220115</v>
      </c>
      <c r="DI126" s="90" t="s">
        <v>1182</v>
      </c>
      <c r="DJ126" s="232" t="s">
        <v>896</v>
      </c>
      <c r="DK126" s="234" t="s">
        <v>233</v>
      </c>
      <c r="DL126" s="234" t="s">
        <v>262</v>
      </c>
      <c r="DM126" s="235">
        <v>44576</v>
      </c>
      <c r="DN126" s="236">
        <v>880</v>
      </c>
      <c r="DO126" s="237">
        <v>374</v>
      </c>
      <c r="DP126" s="236">
        <v>569</v>
      </c>
      <c r="DQ126" s="13"/>
      <c r="DR126" s="13"/>
      <c r="DT126" s="203"/>
      <c r="EF126" s="19"/>
      <c r="EG126" s="18"/>
      <c r="EH126" s="18"/>
      <c r="EI126" s="18"/>
      <c r="EX126" s="27"/>
      <c r="EY126" s="18"/>
      <c r="EZ126" s="20"/>
      <c r="FA126" s="18"/>
    </row>
    <row r="127" spans="32:157" x14ac:dyDescent="0.3">
      <c r="AT127" s="44" t="str">
        <f t="shared" si="103"/>
        <v>20_22B.L8.IOV</v>
      </c>
      <c r="AU127" s="18" t="s">
        <v>68</v>
      </c>
      <c r="AV127" s="18" t="s">
        <v>400</v>
      </c>
      <c r="AW127" s="20" t="s">
        <v>1011</v>
      </c>
      <c r="AX127" s="228">
        <v>1220115</v>
      </c>
      <c r="AY127" s="229">
        <v>94</v>
      </c>
      <c r="BA127" s="91"/>
      <c r="CK127" s="160"/>
      <c r="CL127" s="18"/>
      <c r="CM127" s="18"/>
      <c r="CN127" s="18"/>
      <c r="CO127" s="23"/>
      <c r="CP127" s="226"/>
      <c r="CQ127" s="23"/>
      <c r="CT127" s="23"/>
      <c r="CU127" s="177" t="str">
        <f t="shared" si="113"/>
        <v>LS LO 1220115</v>
      </c>
      <c r="CV127" s="13" t="s">
        <v>925</v>
      </c>
      <c r="CW127" s="13">
        <f t="shared" si="112"/>
        <v>737</v>
      </c>
      <c r="CX127" s="13">
        <f t="shared" si="115"/>
        <v>331.65</v>
      </c>
      <c r="CY127" s="13">
        <f t="shared" si="115"/>
        <v>313.23</v>
      </c>
      <c r="CZ127" s="13">
        <f t="shared" si="115"/>
        <v>479</v>
      </c>
      <c r="DA127" s="13">
        <f t="shared" si="115"/>
        <v>331.65</v>
      </c>
      <c r="DB127" s="13">
        <f t="shared" si="115"/>
        <v>313.23</v>
      </c>
      <c r="DC127" s="13">
        <f t="shared" si="115"/>
        <v>313.23</v>
      </c>
      <c r="DD127" s="13">
        <f t="shared" si="115"/>
        <v>345.48</v>
      </c>
      <c r="DE127" s="13">
        <f t="shared" si="110"/>
        <v>275.20999999999998</v>
      </c>
      <c r="DF127" s="13">
        <f t="shared" si="110"/>
        <v>275.20999999999998</v>
      </c>
      <c r="DG127" s="13">
        <f t="shared" si="114"/>
        <v>479</v>
      </c>
      <c r="DH127" s="13">
        <v>1220115</v>
      </c>
      <c r="DI127" s="90" t="s">
        <v>1183</v>
      </c>
      <c r="DJ127" s="232" t="s">
        <v>896</v>
      </c>
      <c r="DK127" s="234" t="s">
        <v>233</v>
      </c>
      <c r="DL127" s="234" t="s">
        <v>1146</v>
      </c>
      <c r="DM127" s="235">
        <v>44576</v>
      </c>
      <c r="DN127" s="236">
        <v>880</v>
      </c>
      <c r="DO127" s="237">
        <v>569</v>
      </c>
      <c r="DP127" s="236">
        <v>569</v>
      </c>
      <c r="DQ127" s="13"/>
      <c r="DR127" s="13"/>
      <c r="DT127" s="203"/>
      <c r="EF127" s="21"/>
      <c r="EG127" s="18"/>
      <c r="EH127" s="18"/>
      <c r="EI127" s="18"/>
      <c r="EX127" s="27"/>
      <c r="EY127" s="18"/>
      <c r="EZ127" s="20"/>
      <c r="FA127" s="18"/>
    </row>
    <row r="128" spans="32:157" x14ac:dyDescent="0.3">
      <c r="AT128" s="44" t="str">
        <f t="shared" si="103"/>
        <v>20_24B.L8.IOV</v>
      </c>
      <c r="AU128" s="18" t="s">
        <v>68</v>
      </c>
      <c r="AV128" s="18" t="s">
        <v>479</v>
      </c>
      <c r="AW128" s="20" t="s">
        <v>1011</v>
      </c>
      <c r="AX128" s="228">
        <v>1220115</v>
      </c>
      <c r="AY128" s="229">
        <v>94</v>
      </c>
      <c r="BA128" s="91"/>
      <c r="CK128" s="160"/>
      <c r="CL128" s="18"/>
      <c r="CM128" s="18"/>
      <c r="CN128" s="18"/>
      <c r="CO128" s="23"/>
      <c r="CP128" s="226"/>
      <c r="CQ128" s="23"/>
      <c r="CT128" s="23"/>
      <c r="CU128" s="177" t="str">
        <f t="shared" ref="CU128:CU167" si="116">CONCATENATE(DD128," ",DC128)</f>
        <v xml:space="preserve"> </v>
      </c>
      <c r="DC128" s="18"/>
      <c r="DD128" s="177"/>
      <c r="DJ128" s="232" t="s">
        <v>896</v>
      </c>
      <c r="DK128" s="234" t="s">
        <v>233</v>
      </c>
      <c r="DL128" s="234" t="s">
        <v>1149</v>
      </c>
      <c r="DM128" s="235">
        <v>44576</v>
      </c>
      <c r="DN128" s="236">
        <v>880</v>
      </c>
      <c r="DO128" s="237">
        <v>374</v>
      </c>
      <c r="DP128" s="236">
        <v>569</v>
      </c>
      <c r="DQ128" s="13"/>
      <c r="DR128" s="13"/>
      <c r="DT128" s="203"/>
      <c r="EF128" s="19"/>
      <c r="EG128" s="18"/>
      <c r="EH128" s="18"/>
      <c r="EI128" s="18"/>
      <c r="EX128" s="27"/>
      <c r="EY128" s="18"/>
      <c r="EZ128" s="20"/>
      <c r="FA128" s="18"/>
    </row>
    <row r="129" spans="46:157" x14ac:dyDescent="0.3">
      <c r="AT129" s="44" t="str">
        <f t="shared" si="103"/>
        <v>3H_13S.L8.IOV</v>
      </c>
      <c r="AU129" s="18" t="s">
        <v>68</v>
      </c>
      <c r="AV129" s="18" t="s">
        <v>1001</v>
      </c>
      <c r="AW129" s="20" t="s">
        <v>1011</v>
      </c>
      <c r="AX129" s="228">
        <v>1220115</v>
      </c>
      <c r="AY129" s="229">
        <v>256</v>
      </c>
      <c r="BA129" s="91"/>
      <c r="CK129" s="160"/>
      <c r="CL129" s="18"/>
      <c r="CM129" s="18"/>
      <c r="CN129" s="18"/>
      <c r="CO129" s="23"/>
      <c r="CP129" s="226"/>
      <c r="CQ129" s="23"/>
      <c r="CT129" s="23"/>
      <c r="CU129" s="177" t="str">
        <f t="shared" si="116"/>
        <v xml:space="preserve"> </v>
      </c>
      <c r="DC129" s="18"/>
      <c r="DD129" s="177"/>
      <c r="DJ129" s="232" t="s">
        <v>896</v>
      </c>
      <c r="DK129" s="234" t="s">
        <v>233</v>
      </c>
      <c r="DL129" s="234" t="s">
        <v>1147</v>
      </c>
      <c r="DM129" s="235">
        <v>44576</v>
      </c>
      <c r="DN129" s="236">
        <v>880</v>
      </c>
      <c r="DO129" s="237">
        <v>396</v>
      </c>
      <c r="DP129" s="236">
        <v>569</v>
      </c>
      <c r="DQ129" s="13"/>
      <c r="DR129" s="13"/>
      <c r="EF129" s="19"/>
      <c r="EG129" s="18"/>
      <c r="EH129" s="18"/>
      <c r="EI129" s="20"/>
      <c r="EX129" s="27"/>
      <c r="EY129" s="18"/>
      <c r="EZ129" s="20"/>
      <c r="FA129" s="18"/>
    </row>
    <row r="130" spans="46:157" x14ac:dyDescent="0.3">
      <c r="AT130" s="44" t="str">
        <f t="shared" si="103"/>
        <v>4_14S.L8.IOV</v>
      </c>
      <c r="AU130" s="18" t="s">
        <v>68</v>
      </c>
      <c r="AV130" s="18" t="s">
        <v>1017</v>
      </c>
      <c r="AW130" s="20" t="s">
        <v>1011</v>
      </c>
      <c r="AX130" s="228">
        <v>1220115</v>
      </c>
      <c r="AY130" s="229">
        <v>223</v>
      </c>
      <c r="BA130" s="91"/>
      <c r="CK130" s="160"/>
      <c r="CL130" s="18"/>
      <c r="CM130" s="18"/>
      <c r="CN130" s="18"/>
      <c r="CO130" s="23"/>
      <c r="CP130" s="226"/>
      <c r="CQ130" s="23"/>
      <c r="CT130" s="23"/>
      <c r="CU130" s="177" t="str">
        <f t="shared" si="116"/>
        <v xml:space="preserve"> </v>
      </c>
      <c r="DC130" s="18"/>
      <c r="DD130" s="177"/>
      <c r="DJ130" s="232" t="s">
        <v>896</v>
      </c>
      <c r="DK130" s="234" t="s">
        <v>233</v>
      </c>
      <c r="DL130" s="234" t="s">
        <v>1148</v>
      </c>
      <c r="DM130" s="235">
        <v>44576</v>
      </c>
      <c r="DN130" s="236">
        <v>880</v>
      </c>
      <c r="DO130" s="237">
        <v>374</v>
      </c>
      <c r="DP130" s="236">
        <v>569</v>
      </c>
      <c r="DQ130" s="13"/>
      <c r="DR130" s="13"/>
      <c r="DT130" s="203"/>
      <c r="EF130" s="21"/>
      <c r="EG130" s="18"/>
      <c r="EH130" s="18"/>
      <c r="EI130" s="20"/>
      <c r="EX130" s="27"/>
      <c r="EY130" s="18"/>
      <c r="EZ130" s="20"/>
      <c r="FA130" s="18"/>
    </row>
    <row r="131" spans="46:157" x14ac:dyDescent="0.3">
      <c r="AT131" s="44" t="str">
        <f t="shared" si="103"/>
        <v>4_14x8S.L8.IOV</v>
      </c>
      <c r="AU131" s="18" t="s">
        <v>68</v>
      </c>
      <c r="AV131" s="18" t="s">
        <v>1049</v>
      </c>
      <c r="AW131" s="20" t="s">
        <v>1011</v>
      </c>
      <c r="AX131" s="228">
        <v>1220115</v>
      </c>
      <c r="AY131" s="229">
        <v>223</v>
      </c>
      <c r="BA131" s="91"/>
      <c r="CK131" s="160"/>
      <c r="CL131" s="18"/>
      <c r="CM131" s="18"/>
      <c r="CN131" s="18"/>
      <c r="CO131" s="23"/>
      <c r="CP131" s="226"/>
      <c r="CQ131" s="23"/>
      <c r="CT131" s="23"/>
      <c r="CU131" s="177" t="str">
        <f t="shared" si="116"/>
        <v xml:space="preserve"> </v>
      </c>
      <c r="DC131" s="18"/>
      <c r="DD131" s="177"/>
      <c r="DJ131" s="232" t="s">
        <v>884</v>
      </c>
      <c r="DK131" s="234" t="s">
        <v>233</v>
      </c>
      <c r="DL131" s="234" t="s">
        <v>300</v>
      </c>
      <c r="DM131" s="235">
        <v>44576</v>
      </c>
      <c r="DN131" s="236">
        <v>1840</v>
      </c>
      <c r="DO131" s="237">
        <v>828</v>
      </c>
      <c r="DP131" s="236">
        <v>1189</v>
      </c>
      <c r="DQ131" s="13"/>
      <c r="DR131" s="13"/>
      <c r="DT131" s="203"/>
      <c r="EF131" s="19"/>
      <c r="EG131" s="18"/>
      <c r="EH131" s="18"/>
      <c r="EI131" s="18"/>
      <c r="EX131" s="27"/>
      <c r="EY131" s="18"/>
      <c r="EZ131" s="20"/>
      <c r="FA131" s="18"/>
    </row>
    <row r="132" spans="46:157" x14ac:dyDescent="0.3">
      <c r="AT132" s="44" t="str">
        <f t="shared" si="103"/>
        <v>5_14S.L8.IOV</v>
      </c>
      <c r="AU132" s="18" t="s">
        <v>68</v>
      </c>
      <c r="AV132" s="18" t="s">
        <v>1026</v>
      </c>
      <c r="AW132" s="20" t="s">
        <v>1011</v>
      </c>
      <c r="AX132" s="228">
        <v>1220115</v>
      </c>
      <c r="AY132" s="229">
        <v>75</v>
      </c>
      <c r="BA132" s="91"/>
      <c r="CK132" s="160"/>
      <c r="CL132" s="18"/>
      <c r="CM132" s="18"/>
      <c r="CN132" s="18"/>
      <c r="CO132" s="23"/>
      <c r="CP132" s="226"/>
      <c r="CQ132" s="23"/>
      <c r="CT132" s="23"/>
      <c r="CU132" s="177" t="str">
        <f t="shared" si="116"/>
        <v xml:space="preserve"> </v>
      </c>
      <c r="DC132" s="18"/>
      <c r="DD132" s="177"/>
      <c r="DJ132" s="232" t="s">
        <v>884</v>
      </c>
      <c r="DK132" s="234" t="s">
        <v>233</v>
      </c>
      <c r="DL132" s="234" t="s">
        <v>262</v>
      </c>
      <c r="DM132" s="235">
        <v>44576</v>
      </c>
      <c r="DN132" s="236">
        <v>1840</v>
      </c>
      <c r="DO132" s="237">
        <v>782</v>
      </c>
      <c r="DP132" s="236">
        <v>1189</v>
      </c>
      <c r="DQ132" s="13"/>
      <c r="DR132" s="13"/>
      <c r="EF132" s="19"/>
      <c r="EG132" s="18"/>
      <c r="EH132" s="18"/>
      <c r="EI132" s="18"/>
      <c r="EX132" s="27"/>
      <c r="EY132" s="18"/>
      <c r="EZ132" s="20"/>
      <c r="FA132" s="18"/>
    </row>
    <row r="133" spans="46:157" x14ac:dyDescent="0.3">
      <c r="AT133" s="44" t="str">
        <f t="shared" si="103"/>
        <v>5_14x8S.L8.IOV</v>
      </c>
      <c r="AU133" s="18" t="s">
        <v>68</v>
      </c>
      <c r="AV133" s="18" t="s">
        <v>1059</v>
      </c>
      <c r="AW133" s="20" t="s">
        <v>1011</v>
      </c>
      <c r="AX133" s="228">
        <v>1220115</v>
      </c>
      <c r="AY133" s="229">
        <v>75</v>
      </c>
      <c r="BA133" s="91"/>
      <c r="CK133" s="160"/>
      <c r="CL133" s="18"/>
      <c r="CM133" s="18"/>
      <c r="CN133" s="18"/>
      <c r="CO133" s="23"/>
      <c r="CP133" s="226"/>
      <c r="CQ133" s="23"/>
      <c r="CT133" s="23"/>
      <c r="CU133" s="177" t="str">
        <f t="shared" si="116"/>
        <v xml:space="preserve"> </v>
      </c>
      <c r="DC133" s="18"/>
      <c r="DD133" s="177"/>
      <c r="DJ133" s="232" t="s">
        <v>884</v>
      </c>
      <c r="DK133" s="234" t="s">
        <v>233</v>
      </c>
      <c r="DL133" s="234" t="s">
        <v>1146</v>
      </c>
      <c r="DM133" s="235">
        <v>44576</v>
      </c>
      <c r="DN133" s="236">
        <v>1840</v>
      </c>
      <c r="DO133" s="237">
        <v>1189</v>
      </c>
      <c r="DP133" s="236">
        <v>1189</v>
      </c>
      <c r="DQ133" s="13"/>
      <c r="DR133" s="13"/>
      <c r="EF133" s="19"/>
      <c r="EG133" s="18"/>
      <c r="EH133" s="18"/>
      <c r="EI133" s="18"/>
      <c r="EX133" s="27"/>
      <c r="EY133" s="18"/>
      <c r="EZ133" s="20"/>
      <c r="FA133" s="18"/>
    </row>
    <row r="134" spans="46:157" x14ac:dyDescent="0.3">
      <c r="AT134" s="44" t="str">
        <f t="shared" si="103"/>
        <v>5H_14x8S.L8.IOV</v>
      </c>
      <c r="AU134" s="18" t="s">
        <v>68</v>
      </c>
      <c r="AV134" s="18" t="s">
        <v>1067</v>
      </c>
      <c r="AW134" s="20" t="s">
        <v>1011</v>
      </c>
      <c r="AX134" s="228">
        <v>1220115</v>
      </c>
      <c r="AY134" s="229">
        <v>196</v>
      </c>
      <c r="BA134" s="91"/>
      <c r="CK134" s="160"/>
      <c r="CL134" s="18"/>
      <c r="CM134" s="18"/>
      <c r="CN134" s="18"/>
      <c r="CO134" s="23"/>
      <c r="CP134" s="226"/>
      <c r="CQ134" s="23"/>
      <c r="CT134" s="23"/>
      <c r="CU134" s="177" t="str">
        <f t="shared" si="116"/>
        <v xml:space="preserve"> </v>
      </c>
      <c r="DC134" s="18"/>
      <c r="DD134" s="177"/>
      <c r="DJ134" s="232" t="s">
        <v>884</v>
      </c>
      <c r="DK134" s="234" t="s">
        <v>233</v>
      </c>
      <c r="DL134" s="234" t="s">
        <v>1149</v>
      </c>
      <c r="DM134" s="235">
        <v>44576</v>
      </c>
      <c r="DN134" s="236">
        <v>1840</v>
      </c>
      <c r="DO134" s="237">
        <v>782</v>
      </c>
      <c r="DP134" s="236">
        <v>1189</v>
      </c>
      <c r="DQ134" s="13"/>
      <c r="DR134" s="13"/>
      <c r="EF134" s="21"/>
      <c r="EG134" s="18"/>
      <c r="EH134" s="18"/>
      <c r="EI134" s="18"/>
      <c r="EX134" s="27"/>
      <c r="EY134" s="18"/>
      <c r="EZ134" s="20"/>
      <c r="FA134" s="18"/>
    </row>
    <row r="135" spans="46:157" x14ac:dyDescent="0.3">
      <c r="AT135" s="44" t="str">
        <f t="shared" si="103"/>
        <v>6_12S.L8.IOV</v>
      </c>
      <c r="AU135" s="18" t="s">
        <v>68</v>
      </c>
      <c r="AV135" s="18" t="s">
        <v>995</v>
      </c>
      <c r="AW135" s="20" t="s">
        <v>1011</v>
      </c>
      <c r="AX135" s="228">
        <v>1220115</v>
      </c>
      <c r="AY135" s="229">
        <v>307</v>
      </c>
      <c r="BA135" s="91"/>
      <c r="CK135" s="160"/>
      <c r="CL135" s="18"/>
      <c r="CM135" s="18"/>
      <c r="CN135" s="18"/>
      <c r="CO135" s="23"/>
      <c r="CP135" s="226"/>
      <c r="CQ135" s="23"/>
      <c r="CT135" s="23"/>
      <c r="CU135" s="177" t="str">
        <f t="shared" si="116"/>
        <v xml:space="preserve"> </v>
      </c>
      <c r="DC135" s="18"/>
      <c r="DD135" s="177"/>
      <c r="DJ135" s="232" t="s">
        <v>884</v>
      </c>
      <c r="DK135" s="234" t="s">
        <v>233</v>
      </c>
      <c r="DL135" s="234" t="s">
        <v>1147</v>
      </c>
      <c r="DM135" s="235">
        <v>44576</v>
      </c>
      <c r="DN135" s="236">
        <v>1840</v>
      </c>
      <c r="DO135" s="237">
        <v>828</v>
      </c>
      <c r="DP135" s="236">
        <v>1189</v>
      </c>
      <c r="DQ135" s="13"/>
      <c r="DR135" s="13"/>
      <c r="EF135" s="21"/>
      <c r="EG135" s="18"/>
      <c r="EH135" s="18"/>
      <c r="EI135" s="18"/>
      <c r="EX135" s="27"/>
      <c r="EY135" s="18"/>
      <c r="EZ135" s="20"/>
      <c r="FA135" s="18"/>
    </row>
    <row r="136" spans="46:157" x14ac:dyDescent="0.3">
      <c r="AT136" s="44" t="str">
        <f t="shared" si="103"/>
        <v>6_13S.L8.IOV</v>
      </c>
      <c r="AU136" s="18" t="s">
        <v>68</v>
      </c>
      <c r="AV136" s="18" t="s">
        <v>1012</v>
      </c>
      <c r="AW136" s="20" t="s">
        <v>1011</v>
      </c>
      <c r="AX136" s="228">
        <v>1220115</v>
      </c>
      <c r="AY136" s="229">
        <v>296</v>
      </c>
      <c r="BA136" s="91"/>
      <c r="CK136" s="160"/>
      <c r="CL136" s="18"/>
      <c r="CM136" s="18"/>
      <c r="CN136" s="18"/>
      <c r="CO136" s="23"/>
      <c r="CP136" s="226"/>
      <c r="CQ136" s="23"/>
      <c r="CT136" s="23"/>
      <c r="CU136" s="177" t="str">
        <f t="shared" si="116"/>
        <v xml:space="preserve"> </v>
      </c>
      <c r="DC136" s="18"/>
      <c r="DD136" s="177"/>
      <c r="DJ136" s="232" t="s">
        <v>884</v>
      </c>
      <c r="DK136" s="234" t="s">
        <v>233</v>
      </c>
      <c r="DL136" s="234" t="s">
        <v>1148</v>
      </c>
      <c r="DM136" s="235">
        <v>44576</v>
      </c>
      <c r="DN136" s="236">
        <v>1840</v>
      </c>
      <c r="DO136" s="237">
        <v>782</v>
      </c>
      <c r="DP136" s="236">
        <v>1189</v>
      </c>
      <c r="DQ136" s="13"/>
      <c r="DR136" s="13"/>
      <c r="EF136" s="19"/>
      <c r="EG136" s="18"/>
      <c r="EH136" s="18"/>
      <c r="EI136" s="18"/>
      <c r="EX136" s="27"/>
      <c r="EY136" s="18"/>
      <c r="EZ136" s="20"/>
      <c r="FA136" s="18"/>
    </row>
    <row r="137" spans="46:157" x14ac:dyDescent="0.3">
      <c r="AT137" s="44" t="str">
        <f t="shared" si="103"/>
        <v>6_6T.L8.IOV</v>
      </c>
      <c r="AU137" s="18" t="s">
        <v>68</v>
      </c>
      <c r="AV137" s="18" t="s">
        <v>1184</v>
      </c>
      <c r="AW137" s="20" t="s">
        <v>1011</v>
      </c>
      <c r="AX137" s="228">
        <v>1220115</v>
      </c>
      <c r="AY137" s="229">
        <v>405</v>
      </c>
      <c r="BA137" s="91"/>
      <c r="CK137" s="160"/>
      <c r="CL137" s="18"/>
      <c r="CM137" s="18"/>
      <c r="CN137" s="18"/>
      <c r="CO137" s="23"/>
      <c r="CP137" s="226"/>
      <c r="CQ137" s="23"/>
      <c r="CT137" s="23"/>
      <c r="CU137" s="177" t="str">
        <f t="shared" si="116"/>
        <v xml:space="preserve"> </v>
      </c>
      <c r="DC137" s="18"/>
      <c r="DD137" s="177"/>
      <c r="DJ137" s="232" t="s">
        <v>910</v>
      </c>
      <c r="DK137" s="234" t="s">
        <v>233</v>
      </c>
      <c r="DL137" s="234" t="s">
        <v>300</v>
      </c>
      <c r="DM137" s="235">
        <v>44576</v>
      </c>
      <c r="DN137" s="236">
        <v>1200</v>
      </c>
      <c r="DO137" s="237">
        <v>540</v>
      </c>
      <c r="DP137" s="236">
        <v>729</v>
      </c>
      <c r="DQ137" s="13"/>
      <c r="DR137" s="13"/>
      <c r="EF137" s="19"/>
      <c r="EG137" s="18"/>
      <c r="EH137" s="18"/>
      <c r="EI137" s="18"/>
      <c r="EX137" s="27"/>
      <c r="EY137" s="18"/>
      <c r="EZ137" s="20"/>
      <c r="FA137" s="18"/>
    </row>
    <row r="138" spans="46:157" x14ac:dyDescent="0.3">
      <c r="AT138" s="44" t="str">
        <f t="shared" si="103"/>
        <v>6_8T.L8.IOV</v>
      </c>
      <c r="AU138" s="18" t="s">
        <v>68</v>
      </c>
      <c r="AV138" s="18" t="s">
        <v>1185</v>
      </c>
      <c r="AW138" s="20" t="s">
        <v>1011</v>
      </c>
      <c r="AX138" s="228">
        <v>1220115</v>
      </c>
      <c r="AY138" s="229">
        <v>405</v>
      </c>
      <c r="BA138" s="91"/>
      <c r="CK138" s="160"/>
      <c r="CL138" s="18"/>
      <c r="CM138" s="18"/>
      <c r="CN138" s="18"/>
      <c r="CO138" s="23"/>
      <c r="CP138" s="226"/>
      <c r="CQ138" s="23"/>
      <c r="CT138" s="23"/>
      <c r="CU138" s="177" t="str">
        <f t="shared" si="116"/>
        <v xml:space="preserve"> </v>
      </c>
      <c r="DC138" s="18"/>
      <c r="DD138" s="177"/>
      <c r="DJ138" s="232" t="s">
        <v>910</v>
      </c>
      <c r="DK138" s="234" t="s">
        <v>233</v>
      </c>
      <c r="DL138" s="234" t="s">
        <v>262</v>
      </c>
      <c r="DM138" s="235">
        <v>44576</v>
      </c>
      <c r="DN138" s="236">
        <v>1200</v>
      </c>
      <c r="DO138" s="237">
        <v>510</v>
      </c>
      <c r="DP138" s="236">
        <v>729</v>
      </c>
      <c r="DQ138" s="13"/>
      <c r="DR138" s="13"/>
      <c r="EF138" s="19"/>
      <c r="EG138" s="18"/>
      <c r="EH138" s="18"/>
      <c r="EI138" s="18"/>
      <c r="EX138" s="27"/>
      <c r="EY138" s="18"/>
      <c r="EZ138" s="20"/>
      <c r="FA138" s="18"/>
    </row>
    <row r="139" spans="46:157" x14ac:dyDescent="0.3">
      <c r="AT139" s="44" t="str">
        <f t="shared" si="103"/>
        <v>6H_14S.L8.IOV</v>
      </c>
      <c r="AU139" s="18" t="s">
        <v>68</v>
      </c>
      <c r="AV139" s="18" t="s">
        <v>1039</v>
      </c>
      <c r="AW139" s="20" t="s">
        <v>1011</v>
      </c>
      <c r="AX139" s="228">
        <v>1220115</v>
      </c>
      <c r="AY139" s="229">
        <v>95</v>
      </c>
      <c r="BA139" s="91"/>
      <c r="CK139" s="160"/>
      <c r="CL139" s="18"/>
      <c r="CM139" s="18"/>
      <c r="CN139" s="18"/>
      <c r="CO139" s="23"/>
      <c r="CP139" s="226"/>
      <c r="CQ139" s="23"/>
      <c r="CT139" s="23"/>
      <c r="CU139" s="177" t="str">
        <f t="shared" si="116"/>
        <v xml:space="preserve"> </v>
      </c>
      <c r="DC139" s="18"/>
      <c r="DD139" s="177"/>
      <c r="DJ139" s="232" t="s">
        <v>910</v>
      </c>
      <c r="DK139" s="234" t="s">
        <v>233</v>
      </c>
      <c r="DL139" s="234" t="s">
        <v>1146</v>
      </c>
      <c r="DM139" s="235">
        <v>44576</v>
      </c>
      <c r="DN139" s="236">
        <v>1200</v>
      </c>
      <c r="DO139" s="237">
        <v>729</v>
      </c>
      <c r="DP139" s="236">
        <v>729</v>
      </c>
      <c r="DQ139" s="13"/>
      <c r="DR139" s="13"/>
      <c r="EF139" s="19"/>
      <c r="EG139" s="18"/>
      <c r="EH139" s="18"/>
      <c r="EI139" s="18"/>
      <c r="EX139" s="27"/>
      <c r="EY139" s="18"/>
      <c r="EZ139" s="20"/>
      <c r="FA139" s="18"/>
    </row>
    <row r="140" spans="46:157" x14ac:dyDescent="0.3">
      <c r="AT140" s="44" t="str">
        <f t="shared" si="103"/>
        <v>6H_14x8S.L8.IOV</v>
      </c>
      <c r="AU140" s="18" t="s">
        <v>68</v>
      </c>
      <c r="AV140" s="18" t="s">
        <v>1075</v>
      </c>
      <c r="AW140" s="20" t="s">
        <v>1011</v>
      </c>
      <c r="AX140" s="228">
        <v>1220115</v>
      </c>
      <c r="AY140" s="229">
        <v>95</v>
      </c>
      <c r="BA140" s="91"/>
      <c r="CK140" s="160"/>
      <c r="CL140" s="18"/>
      <c r="CM140" s="18"/>
      <c r="CN140" s="220"/>
      <c r="CO140" s="23"/>
      <c r="CP140" s="226"/>
      <c r="CQ140" s="23"/>
      <c r="CT140" s="23"/>
      <c r="CU140" s="177" t="str">
        <f t="shared" si="116"/>
        <v xml:space="preserve"> </v>
      </c>
      <c r="DC140" s="18"/>
      <c r="DD140" s="177"/>
      <c r="DJ140" s="232" t="s">
        <v>910</v>
      </c>
      <c r="DK140" s="234" t="s">
        <v>233</v>
      </c>
      <c r="DL140" s="234" t="s">
        <v>1149</v>
      </c>
      <c r="DM140" s="235">
        <v>44576</v>
      </c>
      <c r="DN140" s="236">
        <v>1200</v>
      </c>
      <c r="DO140" s="237">
        <v>510</v>
      </c>
      <c r="DP140" s="236">
        <v>729</v>
      </c>
      <c r="DQ140" s="13"/>
      <c r="DR140" s="13"/>
      <c r="EF140" s="19"/>
      <c r="EG140" s="18"/>
      <c r="EH140" s="18"/>
      <c r="EI140" s="20"/>
      <c r="EX140" s="27"/>
      <c r="EY140" s="18"/>
      <c r="EZ140" s="20"/>
      <c r="FA140" s="18"/>
    </row>
    <row r="141" spans="46:157" x14ac:dyDescent="0.3">
      <c r="AT141" s="44" t="str">
        <f t="shared" si="103"/>
        <v>7_10T.L8.IOV</v>
      </c>
      <c r="AU141" s="18" t="s">
        <v>68</v>
      </c>
      <c r="AV141" s="18" t="s">
        <v>763</v>
      </c>
      <c r="AW141" s="20" t="s">
        <v>1011</v>
      </c>
      <c r="AX141" s="228">
        <v>1220115</v>
      </c>
      <c r="AY141" s="229">
        <v>364</v>
      </c>
      <c r="BA141" s="91"/>
      <c r="CK141" s="160"/>
      <c r="CL141" s="18"/>
      <c r="CM141" s="18"/>
      <c r="CN141" s="18"/>
      <c r="CO141" s="23"/>
      <c r="CP141" s="226"/>
      <c r="CQ141" s="23"/>
      <c r="CR141" s="161"/>
      <c r="CS141" s="23"/>
      <c r="CT141" s="23"/>
      <c r="CU141" s="177" t="str">
        <f t="shared" si="116"/>
        <v xml:space="preserve"> </v>
      </c>
      <c r="DC141" s="18"/>
      <c r="DD141" s="177"/>
      <c r="DJ141" s="232" t="s">
        <v>910</v>
      </c>
      <c r="DK141" s="234" t="s">
        <v>233</v>
      </c>
      <c r="DL141" s="234" t="s">
        <v>1147</v>
      </c>
      <c r="DM141" s="235">
        <v>44576</v>
      </c>
      <c r="DN141" s="236">
        <v>1200</v>
      </c>
      <c r="DO141" s="237">
        <v>540</v>
      </c>
      <c r="DP141" s="236">
        <v>729</v>
      </c>
      <c r="DQ141" s="13"/>
      <c r="DR141" s="13"/>
      <c r="EF141" s="19"/>
      <c r="EG141" s="18"/>
      <c r="EH141" s="18"/>
      <c r="EI141" s="18"/>
      <c r="EX141" s="27"/>
      <c r="EY141" s="18"/>
      <c r="EZ141" s="20"/>
      <c r="FA141" s="18"/>
    </row>
    <row r="142" spans="46:157" x14ac:dyDescent="0.3">
      <c r="AT142" s="44" t="str">
        <f t="shared" si="103"/>
        <v>7_6T.L8.IOV</v>
      </c>
      <c r="AU142" s="18" t="s">
        <v>68</v>
      </c>
      <c r="AV142" s="20" t="s">
        <v>736</v>
      </c>
      <c r="AW142" s="20" t="s">
        <v>1011</v>
      </c>
      <c r="AX142" s="228">
        <v>1220115</v>
      </c>
      <c r="AY142" s="229">
        <v>405</v>
      </c>
      <c r="BA142" s="91"/>
      <c r="CK142" s="160"/>
      <c r="CL142" s="18"/>
      <c r="CM142" s="18"/>
      <c r="CN142" s="18"/>
      <c r="CO142" s="23"/>
      <c r="CP142" s="226"/>
      <c r="CQ142" s="23"/>
      <c r="CR142" s="161"/>
      <c r="CS142" s="23"/>
      <c r="CT142" s="23"/>
      <c r="CU142" s="177" t="str">
        <f t="shared" si="116"/>
        <v xml:space="preserve"> </v>
      </c>
      <c r="DC142" s="18"/>
      <c r="DD142" s="177"/>
      <c r="DJ142" s="232" t="s">
        <v>910</v>
      </c>
      <c r="DK142" s="234" t="s">
        <v>233</v>
      </c>
      <c r="DL142" s="234" t="s">
        <v>1148</v>
      </c>
      <c r="DM142" s="235">
        <v>44576</v>
      </c>
      <c r="DN142" s="236">
        <v>1200</v>
      </c>
      <c r="DO142" s="237">
        <v>510</v>
      </c>
      <c r="DP142" s="236">
        <v>729</v>
      </c>
      <c r="DQ142" s="13"/>
      <c r="DR142" s="13"/>
      <c r="DT142" s="203"/>
      <c r="EF142" s="19"/>
      <c r="EG142" s="18"/>
      <c r="EH142" s="18"/>
      <c r="EI142" s="18"/>
      <c r="EX142" s="27"/>
      <c r="EY142" s="18"/>
      <c r="EZ142" s="20"/>
      <c r="FA142" s="18"/>
    </row>
    <row r="143" spans="46:157" x14ac:dyDescent="0.3">
      <c r="AT143" s="44" t="str">
        <f t="shared" si="103"/>
        <v>7_8T.L8.IOV</v>
      </c>
      <c r="AU143" s="18" t="s">
        <v>68</v>
      </c>
      <c r="AV143" s="18" t="s">
        <v>748</v>
      </c>
      <c r="AW143" s="20" t="s">
        <v>1011</v>
      </c>
      <c r="AX143" s="228">
        <v>1220115</v>
      </c>
      <c r="AY143" s="229">
        <v>405</v>
      </c>
      <c r="BA143" s="91"/>
      <c r="CK143" s="160"/>
      <c r="CL143" s="18"/>
      <c r="CM143" s="18"/>
      <c r="CN143" s="18"/>
      <c r="CO143" s="23"/>
      <c r="CP143" s="226"/>
      <c r="CQ143" s="23"/>
      <c r="CR143" s="162"/>
      <c r="CS143" s="23"/>
      <c r="CT143" s="23"/>
      <c r="CU143" s="177" t="str">
        <f t="shared" si="116"/>
        <v xml:space="preserve"> </v>
      </c>
      <c r="DC143" s="18"/>
      <c r="DD143" s="177"/>
      <c r="DJ143" s="232" t="s">
        <v>923</v>
      </c>
      <c r="DK143" s="234" t="s">
        <v>233</v>
      </c>
      <c r="DL143" s="234" t="s">
        <v>300</v>
      </c>
      <c r="DM143" s="235">
        <v>44576</v>
      </c>
      <c r="DN143" s="236">
        <v>840</v>
      </c>
      <c r="DO143" s="237">
        <v>378</v>
      </c>
      <c r="DP143" s="236">
        <v>549</v>
      </c>
      <c r="DQ143" s="13"/>
      <c r="DR143" s="13"/>
      <c r="DT143" s="203"/>
      <c r="EF143" s="19"/>
      <c r="EG143" s="18"/>
      <c r="EH143" s="18"/>
      <c r="EI143" s="18"/>
      <c r="EX143" s="27"/>
      <c r="EY143" s="18"/>
      <c r="EZ143" s="20"/>
      <c r="FA143" s="18"/>
    </row>
    <row r="144" spans="46:157" x14ac:dyDescent="0.3">
      <c r="AT144" s="44" t="str">
        <f t="shared" si="103"/>
        <v>7H_10T.L8.IOV</v>
      </c>
      <c r="AU144" s="18" t="s">
        <v>68</v>
      </c>
      <c r="AV144" s="18" t="s">
        <v>769</v>
      </c>
      <c r="AW144" s="20" t="s">
        <v>1011</v>
      </c>
      <c r="AX144" s="228">
        <v>1220115</v>
      </c>
      <c r="AY144" s="229">
        <v>364</v>
      </c>
      <c r="BA144" s="91"/>
      <c r="CK144" s="160"/>
      <c r="CL144" s="18"/>
      <c r="CM144" s="18"/>
      <c r="CN144" s="220"/>
      <c r="CO144" s="23"/>
      <c r="CP144" s="226"/>
      <c r="CQ144" s="23"/>
      <c r="CR144" s="161"/>
      <c r="CS144" s="23"/>
      <c r="CT144" s="23"/>
      <c r="CU144" s="177" t="str">
        <f t="shared" si="116"/>
        <v xml:space="preserve"> </v>
      </c>
      <c r="DC144" s="18"/>
      <c r="DD144" s="177"/>
      <c r="DJ144" s="232" t="s">
        <v>923</v>
      </c>
      <c r="DK144" s="234" t="s">
        <v>233</v>
      </c>
      <c r="DL144" s="234" t="s">
        <v>262</v>
      </c>
      <c r="DM144" s="235">
        <v>44576</v>
      </c>
      <c r="DN144" s="236">
        <v>840</v>
      </c>
      <c r="DO144" s="237">
        <v>357</v>
      </c>
      <c r="DP144" s="236">
        <v>549</v>
      </c>
      <c r="DQ144" s="13"/>
      <c r="DR144" s="13"/>
      <c r="EF144" s="19"/>
      <c r="EG144" s="18"/>
      <c r="EH144" s="18"/>
      <c r="EI144" s="18"/>
      <c r="EX144" s="27"/>
      <c r="EY144" s="18"/>
      <c r="EZ144" s="20"/>
      <c r="FA144" s="18"/>
    </row>
    <row r="145" spans="46:157" x14ac:dyDescent="0.3">
      <c r="AT145" s="44" t="str">
        <f t="shared" si="103"/>
        <v>8_10T.L8.IOV</v>
      </c>
      <c r="AU145" s="18" t="s">
        <v>68</v>
      </c>
      <c r="AV145" s="18" t="s">
        <v>776</v>
      </c>
      <c r="AW145" s="20" t="s">
        <v>1011</v>
      </c>
      <c r="AX145" s="228">
        <v>1220115</v>
      </c>
      <c r="AY145" s="229">
        <v>364</v>
      </c>
      <c r="BA145" s="91"/>
      <c r="CK145" s="160"/>
      <c r="CL145" s="18"/>
      <c r="CM145" s="18"/>
      <c r="CN145" s="18"/>
      <c r="CO145" s="23"/>
      <c r="CP145" s="226"/>
      <c r="CQ145" s="23"/>
      <c r="CR145" s="47"/>
      <c r="CT145" s="24"/>
      <c r="CU145" s="177" t="str">
        <f t="shared" si="116"/>
        <v xml:space="preserve"> </v>
      </c>
      <c r="DC145" s="18"/>
      <c r="DD145" s="177"/>
      <c r="DJ145" s="232" t="s">
        <v>923</v>
      </c>
      <c r="DK145" s="234" t="s">
        <v>233</v>
      </c>
      <c r="DL145" s="234" t="s">
        <v>1146</v>
      </c>
      <c r="DM145" s="235">
        <v>44576</v>
      </c>
      <c r="DN145" s="236">
        <v>840</v>
      </c>
      <c r="DO145" s="237">
        <v>549</v>
      </c>
      <c r="DP145" s="236">
        <v>549</v>
      </c>
      <c r="DQ145" s="13"/>
      <c r="DR145" s="13"/>
      <c r="EF145" s="21"/>
      <c r="EG145" s="18"/>
      <c r="EH145" s="18"/>
      <c r="EI145" s="18"/>
      <c r="EX145" s="27"/>
      <c r="EY145" s="18"/>
      <c r="EZ145" s="20"/>
      <c r="FA145" s="18"/>
    </row>
    <row r="146" spans="46:157" x14ac:dyDescent="0.3">
      <c r="AT146" s="44" t="str">
        <f t="shared" si="103"/>
        <v>8_12T.L8.IOV</v>
      </c>
      <c r="AU146" s="18" t="s">
        <v>68</v>
      </c>
      <c r="AV146" s="18" t="s">
        <v>791</v>
      </c>
      <c r="AW146" s="20" t="s">
        <v>1011</v>
      </c>
      <c r="AX146" s="228">
        <v>1220115</v>
      </c>
      <c r="AY146" s="229">
        <v>352</v>
      </c>
      <c r="BA146" s="91"/>
      <c r="CK146" s="160"/>
      <c r="CL146" s="18"/>
      <c r="CM146" s="18"/>
      <c r="CN146" s="18"/>
      <c r="CO146" s="23"/>
      <c r="CP146" s="226"/>
      <c r="CQ146" s="23"/>
      <c r="CR146" s="47"/>
      <c r="CT146" s="24"/>
      <c r="CU146" s="177" t="str">
        <f t="shared" si="116"/>
        <v xml:space="preserve"> </v>
      </c>
      <c r="DC146" s="18"/>
      <c r="DD146" s="177"/>
      <c r="DJ146" s="232" t="s">
        <v>923</v>
      </c>
      <c r="DK146" s="234" t="s">
        <v>233</v>
      </c>
      <c r="DL146" s="234" t="s">
        <v>1149</v>
      </c>
      <c r="DM146" s="235">
        <v>44576</v>
      </c>
      <c r="DN146" s="236">
        <v>840</v>
      </c>
      <c r="DO146" s="237">
        <v>357</v>
      </c>
      <c r="DP146" s="236">
        <v>549</v>
      </c>
      <c r="EF146" s="19"/>
      <c r="EG146" s="18"/>
      <c r="EH146" s="18"/>
      <c r="EI146" s="20"/>
      <c r="EX146" s="27"/>
      <c r="EY146" s="18"/>
      <c r="EZ146" s="20"/>
      <c r="FA146" s="18"/>
    </row>
    <row r="147" spans="46:157" x14ac:dyDescent="0.3">
      <c r="AT147" s="44" t="str">
        <f t="shared" ref="AT147:AT210" si="117">CONCATENATE(AV147,".",AU147,".",AW147)</f>
        <v>8_14S.L8.IOV</v>
      </c>
      <c r="AU147" s="18" t="s">
        <v>68</v>
      </c>
      <c r="AV147" s="18" t="s">
        <v>1046</v>
      </c>
      <c r="AW147" s="20" t="s">
        <v>1011</v>
      </c>
      <c r="AX147" s="228">
        <v>1220115</v>
      </c>
      <c r="AY147" s="229">
        <v>80</v>
      </c>
      <c r="BA147" s="91"/>
      <c r="CK147" s="160"/>
      <c r="CL147" s="18"/>
      <c r="CM147" s="18"/>
      <c r="CN147" s="18"/>
      <c r="CO147" s="23"/>
      <c r="CP147" s="226"/>
      <c r="CQ147" s="23"/>
      <c r="CR147" s="47"/>
      <c r="CT147" s="24"/>
      <c r="CU147" s="177" t="str">
        <f t="shared" si="116"/>
        <v xml:space="preserve"> </v>
      </c>
      <c r="DC147" s="18"/>
      <c r="DD147" s="177"/>
      <c r="DJ147" s="232" t="s">
        <v>923</v>
      </c>
      <c r="DK147" s="234" t="s">
        <v>233</v>
      </c>
      <c r="DL147" s="234" t="s">
        <v>1147</v>
      </c>
      <c r="DM147" s="235">
        <v>44576</v>
      </c>
      <c r="DN147" s="236">
        <v>840</v>
      </c>
      <c r="DO147" s="237">
        <v>378</v>
      </c>
      <c r="DP147" s="236">
        <v>549</v>
      </c>
      <c r="EF147" s="19"/>
      <c r="EG147" s="18"/>
      <c r="EH147" s="18"/>
      <c r="EI147" s="20"/>
      <c r="EX147" s="27"/>
      <c r="EY147" s="18"/>
      <c r="EZ147" s="20"/>
      <c r="FA147" s="18"/>
    </row>
    <row r="148" spans="46:157" x14ac:dyDescent="0.3">
      <c r="AT148" s="44" t="str">
        <f t="shared" si="117"/>
        <v>8_6T.L8.IOV</v>
      </c>
      <c r="AU148" s="18" t="s">
        <v>68</v>
      </c>
      <c r="AV148" s="18" t="s">
        <v>744</v>
      </c>
      <c r="AW148" s="20" t="s">
        <v>1011</v>
      </c>
      <c r="AX148" s="228">
        <v>1220115</v>
      </c>
      <c r="AY148" s="229">
        <v>405</v>
      </c>
      <c r="BA148" s="91"/>
      <c r="CK148" s="160"/>
      <c r="CL148" s="18"/>
      <c r="CM148" s="18"/>
      <c r="CN148" s="18"/>
      <c r="CO148" s="23"/>
      <c r="CP148" s="226"/>
      <c r="CQ148" s="23"/>
      <c r="CR148" s="47"/>
      <c r="CT148" s="24"/>
      <c r="CU148" s="177" t="str">
        <f t="shared" si="116"/>
        <v xml:space="preserve"> </v>
      </c>
      <c r="CW148" s="66"/>
      <c r="CX148" s="66"/>
      <c r="CY148" s="66"/>
      <c r="CZ148" s="66"/>
      <c r="DA148" s="66"/>
      <c r="DB148" s="66"/>
      <c r="DC148" s="23"/>
      <c r="DD148" s="177"/>
      <c r="DJ148" s="232" t="s">
        <v>923</v>
      </c>
      <c r="DK148" s="234" t="s">
        <v>233</v>
      </c>
      <c r="DL148" s="234" t="s">
        <v>1148</v>
      </c>
      <c r="DM148" s="235">
        <v>44576</v>
      </c>
      <c r="DN148" s="236">
        <v>840</v>
      </c>
      <c r="DO148" s="237">
        <v>357</v>
      </c>
      <c r="DP148" s="236">
        <v>549</v>
      </c>
      <c r="EF148" s="19"/>
      <c r="EG148" s="18"/>
      <c r="EH148" s="18"/>
      <c r="EI148" s="18"/>
      <c r="EX148" s="27"/>
      <c r="EY148" s="18"/>
      <c r="EZ148" s="20"/>
      <c r="FA148" s="18"/>
    </row>
    <row r="149" spans="46:157" x14ac:dyDescent="0.3">
      <c r="AT149" s="44" t="str">
        <f t="shared" si="117"/>
        <v>8_8T.L8.IOV</v>
      </c>
      <c r="AU149" s="18" t="s">
        <v>68</v>
      </c>
      <c r="AV149" s="18" t="s">
        <v>754</v>
      </c>
      <c r="AW149" s="20" t="s">
        <v>1011</v>
      </c>
      <c r="AX149" s="228">
        <v>1220115</v>
      </c>
      <c r="AY149" s="229">
        <v>405</v>
      </c>
      <c r="BA149" s="91"/>
      <c r="CK149" s="160"/>
      <c r="CL149" s="18"/>
      <c r="CM149" s="18"/>
      <c r="CN149" s="18"/>
      <c r="CO149" s="23"/>
      <c r="CP149" s="226"/>
      <c r="CQ149" s="23"/>
      <c r="CR149" s="47"/>
      <c r="CT149" s="24"/>
      <c r="CU149" s="177" t="str">
        <f t="shared" si="116"/>
        <v xml:space="preserve"> </v>
      </c>
      <c r="CW149" s="66"/>
      <c r="CX149" s="66"/>
      <c r="CY149" s="66"/>
      <c r="CZ149" s="66"/>
      <c r="DA149" s="66"/>
      <c r="DB149" s="66"/>
      <c r="DC149" s="23"/>
      <c r="DD149" s="177"/>
      <c r="DJ149" s="232" t="s">
        <v>897</v>
      </c>
      <c r="DK149" s="234" t="s">
        <v>233</v>
      </c>
      <c r="DL149" s="234" t="s">
        <v>300</v>
      </c>
      <c r="DM149" s="235">
        <v>44576</v>
      </c>
      <c r="DN149" s="236">
        <v>880</v>
      </c>
      <c r="DO149" s="237">
        <v>396</v>
      </c>
      <c r="DP149" s="236">
        <v>569</v>
      </c>
      <c r="EF149" s="19"/>
      <c r="EG149" s="18"/>
      <c r="EH149" s="18"/>
      <c r="EI149" s="20"/>
      <c r="EX149" s="27"/>
      <c r="EY149" s="18"/>
      <c r="EZ149" s="20"/>
      <c r="FA149" s="18"/>
    </row>
    <row r="150" spans="46:157" x14ac:dyDescent="0.3">
      <c r="AT150" s="44" t="str">
        <f t="shared" si="117"/>
        <v>9_10T.L8.IOV</v>
      </c>
      <c r="AU150" s="18" t="s">
        <v>68</v>
      </c>
      <c r="AV150" s="18" t="s">
        <v>783</v>
      </c>
      <c r="AW150" s="20" t="s">
        <v>1011</v>
      </c>
      <c r="AX150" s="228">
        <v>1220115</v>
      </c>
      <c r="AY150" s="229">
        <v>364</v>
      </c>
      <c r="BA150" s="91"/>
      <c r="CK150" s="160"/>
      <c r="CL150" s="18"/>
      <c r="CM150" s="18"/>
      <c r="CN150" s="18"/>
      <c r="CO150" s="23"/>
      <c r="CP150" s="226"/>
      <c r="CQ150" s="23"/>
      <c r="CR150" s="47"/>
      <c r="CT150" s="24"/>
      <c r="CU150" s="177" t="str">
        <f t="shared" si="116"/>
        <v xml:space="preserve"> </v>
      </c>
      <c r="CW150" s="66"/>
      <c r="CX150" s="66"/>
      <c r="CY150" s="66"/>
      <c r="CZ150" s="66"/>
      <c r="DA150" s="66"/>
      <c r="DB150" s="66"/>
      <c r="DC150" s="23"/>
      <c r="DD150" s="177"/>
      <c r="DJ150" s="232" t="s">
        <v>897</v>
      </c>
      <c r="DK150" s="234" t="s">
        <v>233</v>
      </c>
      <c r="DL150" s="234" t="s">
        <v>262</v>
      </c>
      <c r="DM150" s="235">
        <v>44576</v>
      </c>
      <c r="DN150" s="236">
        <v>880</v>
      </c>
      <c r="DO150" s="237">
        <v>374</v>
      </c>
      <c r="DP150" s="236">
        <v>569</v>
      </c>
      <c r="EF150" s="19"/>
      <c r="EG150" s="18"/>
      <c r="EH150" s="18"/>
      <c r="EI150" s="20"/>
      <c r="EX150" s="27"/>
      <c r="EY150" s="18"/>
      <c r="EZ150" s="20"/>
      <c r="FA150" s="18"/>
    </row>
    <row r="151" spans="46:157" x14ac:dyDescent="0.3">
      <c r="AT151" s="44" t="str">
        <f t="shared" si="117"/>
        <v>9_12T.L8.IOV</v>
      </c>
      <c r="AU151" s="18" t="s">
        <v>68</v>
      </c>
      <c r="AV151" s="18" t="s">
        <v>804</v>
      </c>
      <c r="AW151" s="20" t="s">
        <v>1011</v>
      </c>
      <c r="AX151" s="228">
        <v>1220115</v>
      </c>
      <c r="AY151" s="229">
        <v>352</v>
      </c>
      <c r="BA151" s="91"/>
      <c r="CK151" s="160"/>
      <c r="CL151" s="18"/>
      <c r="CM151" s="18"/>
      <c r="CN151" s="18"/>
      <c r="CO151" s="23"/>
      <c r="CP151" s="226"/>
      <c r="CQ151" s="23"/>
      <c r="CR151" s="47"/>
      <c r="CT151" s="24"/>
      <c r="CU151" s="177" t="str">
        <f t="shared" si="116"/>
        <v xml:space="preserve"> </v>
      </c>
      <c r="CW151" s="66"/>
      <c r="CX151" s="66"/>
      <c r="CY151" s="66"/>
      <c r="CZ151" s="66"/>
      <c r="DA151" s="66"/>
      <c r="DB151" s="66"/>
      <c r="DC151" s="23"/>
      <c r="DD151" s="177"/>
      <c r="DJ151" s="232" t="s">
        <v>897</v>
      </c>
      <c r="DK151" s="234" t="s">
        <v>233</v>
      </c>
      <c r="DL151" s="234" t="s">
        <v>1146</v>
      </c>
      <c r="DM151" s="235">
        <v>44576</v>
      </c>
      <c r="DN151" s="236">
        <v>880</v>
      </c>
      <c r="DO151" s="237">
        <v>569</v>
      </c>
      <c r="DP151" s="236">
        <v>569</v>
      </c>
      <c r="EF151" s="21"/>
      <c r="EG151" s="18"/>
      <c r="EH151" s="18"/>
      <c r="EI151" s="20"/>
      <c r="EX151" s="27"/>
      <c r="EY151" s="18"/>
      <c r="EZ151" s="20"/>
      <c r="FA151" s="18"/>
    </row>
    <row r="152" spans="46:157" x14ac:dyDescent="0.3">
      <c r="AT152" s="44" t="str">
        <f t="shared" si="117"/>
        <v>9_13T.L8.IOV</v>
      </c>
      <c r="AU152" s="18" t="s">
        <v>68</v>
      </c>
      <c r="AV152" s="18" t="s">
        <v>837</v>
      </c>
      <c r="AW152" s="20" t="s">
        <v>1011</v>
      </c>
      <c r="AX152" s="228">
        <v>1220115</v>
      </c>
      <c r="AY152" s="229">
        <v>301</v>
      </c>
      <c r="BA152" s="91"/>
      <c r="CK152" s="160"/>
      <c r="CL152" s="18"/>
      <c r="CM152" s="18"/>
      <c r="CN152" s="18"/>
      <c r="CO152" s="23"/>
      <c r="CP152" s="226"/>
      <c r="CQ152" s="23"/>
      <c r="CR152" s="47"/>
      <c r="CT152" s="24"/>
      <c r="CU152" s="177" t="str">
        <f t="shared" si="116"/>
        <v xml:space="preserve"> </v>
      </c>
      <c r="CW152" s="66"/>
      <c r="CX152" s="66"/>
      <c r="CY152" s="66"/>
      <c r="CZ152" s="66"/>
      <c r="DA152" s="66"/>
      <c r="DB152" s="66"/>
      <c r="DC152" s="23"/>
      <c r="DD152" s="177"/>
      <c r="DJ152" s="232" t="s">
        <v>897</v>
      </c>
      <c r="DK152" s="234" t="s">
        <v>233</v>
      </c>
      <c r="DL152" s="234" t="s">
        <v>1149</v>
      </c>
      <c r="DM152" s="235">
        <v>44576</v>
      </c>
      <c r="DN152" s="236">
        <v>880</v>
      </c>
      <c r="DO152" s="237">
        <v>374</v>
      </c>
      <c r="DP152" s="236">
        <v>569</v>
      </c>
      <c r="EF152" s="21"/>
      <c r="EG152" s="18"/>
      <c r="EH152" s="18"/>
      <c r="EI152" s="20"/>
      <c r="EX152" s="27"/>
      <c r="EY152" s="18"/>
      <c r="EZ152" s="20"/>
      <c r="FA152" s="18"/>
    </row>
    <row r="153" spans="46:157" x14ac:dyDescent="0.3">
      <c r="AT153" s="44" t="str">
        <f t="shared" si="117"/>
        <v>9_14T.L8.IOV</v>
      </c>
      <c r="AU153" s="18" t="s">
        <v>68</v>
      </c>
      <c r="AV153" s="18" t="s">
        <v>874</v>
      </c>
      <c r="AW153" s="20" t="s">
        <v>1011</v>
      </c>
      <c r="AX153" s="228">
        <v>1220115</v>
      </c>
      <c r="AY153" s="229">
        <v>121</v>
      </c>
      <c r="BA153" s="91"/>
      <c r="CK153" s="160"/>
      <c r="CL153" s="18"/>
      <c r="CM153" s="18"/>
      <c r="CN153" s="18"/>
      <c r="CO153" s="23"/>
      <c r="CP153" s="226"/>
      <c r="CQ153" s="23"/>
      <c r="CR153" s="47"/>
      <c r="CT153" s="24"/>
      <c r="CU153" s="177" t="str">
        <f t="shared" si="116"/>
        <v xml:space="preserve"> </v>
      </c>
      <c r="CW153" s="66"/>
      <c r="CX153" s="66"/>
      <c r="CY153" s="66"/>
      <c r="CZ153" s="66"/>
      <c r="DA153" s="66"/>
      <c r="DB153" s="66"/>
      <c r="DC153" s="23"/>
      <c r="DD153" s="177"/>
      <c r="DJ153" s="232" t="s">
        <v>897</v>
      </c>
      <c r="DK153" s="234" t="s">
        <v>233</v>
      </c>
      <c r="DL153" s="234" t="s">
        <v>1147</v>
      </c>
      <c r="DM153" s="235">
        <v>44576</v>
      </c>
      <c r="DN153" s="236">
        <v>880</v>
      </c>
      <c r="DO153" s="237">
        <v>396</v>
      </c>
      <c r="DP153" s="236">
        <v>569</v>
      </c>
      <c r="EF153" s="19"/>
      <c r="EG153" s="18"/>
      <c r="EH153" s="18"/>
      <c r="EI153" s="20"/>
      <c r="EX153" s="27"/>
      <c r="EY153" s="18"/>
      <c r="EZ153" s="20"/>
      <c r="FA153" s="18"/>
    </row>
    <row r="154" spans="46:157" x14ac:dyDescent="0.3">
      <c r="AT154" s="44" t="str">
        <f t="shared" si="117"/>
        <v>10_12T.L8.S</v>
      </c>
      <c r="AU154" s="18" t="s">
        <v>68</v>
      </c>
      <c r="AV154" s="18" t="s">
        <v>813</v>
      </c>
      <c r="AW154" s="20" t="s">
        <v>377</v>
      </c>
      <c r="AX154" s="228">
        <v>1220115</v>
      </c>
      <c r="AY154" s="229">
        <v>352</v>
      </c>
      <c r="BA154" s="91"/>
      <c r="CK154" s="160"/>
      <c r="CL154" s="18"/>
      <c r="CM154" s="18"/>
      <c r="CN154" s="18"/>
      <c r="CO154" s="23"/>
      <c r="CP154" s="226"/>
      <c r="CQ154" s="23"/>
      <c r="CR154" s="47"/>
      <c r="CT154" s="24"/>
      <c r="CU154" s="177" t="str">
        <f t="shared" si="116"/>
        <v xml:space="preserve"> </v>
      </c>
      <c r="CW154" s="66"/>
      <c r="CX154" s="66"/>
      <c r="CY154" s="66"/>
      <c r="CZ154" s="66"/>
      <c r="DA154" s="66"/>
      <c r="DB154" s="66"/>
      <c r="DC154" s="23"/>
      <c r="DD154" s="177"/>
      <c r="DJ154" s="232" t="s">
        <v>897</v>
      </c>
      <c r="DK154" s="234" t="s">
        <v>233</v>
      </c>
      <c r="DL154" s="234" t="s">
        <v>1148</v>
      </c>
      <c r="DM154" s="235">
        <v>44576</v>
      </c>
      <c r="DN154" s="236">
        <v>880</v>
      </c>
      <c r="DO154" s="237">
        <v>374</v>
      </c>
      <c r="DP154" s="236">
        <v>569</v>
      </c>
      <c r="EF154" s="21"/>
      <c r="EG154" s="18"/>
      <c r="EH154" s="18"/>
      <c r="EI154" s="20"/>
      <c r="EX154" s="27"/>
      <c r="EY154" s="18"/>
      <c r="EZ154" s="20"/>
      <c r="FA154" s="18"/>
    </row>
    <row r="155" spans="46:157" x14ac:dyDescent="0.3">
      <c r="AT155" s="44" t="str">
        <f t="shared" si="117"/>
        <v>10_13T.L8.S</v>
      </c>
      <c r="AU155" s="18" t="s">
        <v>68</v>
      </c>
      <c r="AV155" s="18" t="s">
        <v>848</v>
      </c>
      <c r="AW155" s="20" t="s">
        <v>377</v>
      </c>
      <c r="AX155" s="228">
        <v>1220115</v>
      </c>
      <c r="AY155" s="229">
        <v>301</v>
      </c>
      <c r="BA155" s="91"/>
      <c r="CK155" s="160"/>
      <c r="CL155" s="18"/>
      <c r="CM155" s="18"/>
      <c r="CN155" s="18"/>
      <c r="CO155" s="23"/>
      <c r="CP155" s="226"/>
      <c r="CQ155" s="23"/>
      <c r="CR155" s="224"/>
      <c r="CS155" s="23"/>
      <c r="CT155" s="161"/>
      <c r="CU155" s="177" t="str">
        <f t="shared" si="116"/>
        <v xml:space="preserve"> </v>
      </c>
      <c r="CW155" s="66"/>
      <c r="CX155" s="66"/>
      <c r="CY155" s="66"/>
      <c r="CZ155" s="66"/>
      <c r="DA155" s="66"/>
      <c r="DB155" s="66"/>
      <c r="DC155" s="23"/>
      <c r="DD155" s="177"/>
      <c r="DJ155" s="232" t="s">
        <v>885</v>
      </c>
      <c r="DK155" s="234" t="s">
        <v>233</v>
      </c>
      <c r="DL155" s="234" t="s">
        <v>300</v>
      </c>
      <c r="DM155" s="235">
        <v>44576</v>
      </c>
      <c r="DN155" s="236">
        <v>2160</v>
      </c>
      <c r="DO155" s="237">
        <v>972</v>
      </c>
      <c r="DP155" s="236">
        <v>1409</v>
      </c>
      <c r="EF155" s="21"/>
      <c r="EG155" s="18"/>
      <c r="EH155" s="18"/>
      <c r="EI155" s="18"/>
      <c r="EX155" s="27"/>
      <c r="EY155" s="18"/>
      <c r="EZ155" s="20"/>
      <c r="FA155" s="18"/>
    </row>
    <row r="156" spans="46:157" x14ac:dyDescent="0.3">
      <c r="AT156" s="44" t="str">
        <f t="shared" si="117"/>
        <v>10_14S.L8.S</v>
      </c>
      <c r="AU156" s="18" t="s">
        <v>68</v>
      </c>
      <c r="AV156" s="18" t="s">
        <v>1122</v>
      </c>
      <c r="AW156" s="20" t="s">
        <v>377</v>
      </c>
      <c r="AX156" s="228">
        <v>1220115</v>
      </c>
      <c r="AY156" s="229">
        <v>105</v>
      </c>
      <c r="BA156" s="91"/>
      <c r="CK156" s="160"/>
      <c r="CL156" s="18"/>
      <c r="CM156" s="18"/>
      <c r="CN156" s="18"/>
      <c r="CO156" s="23"/>
      <c r="CP156" s="226"/>
      <c r="CQ156" s="23"/>
      <c r="CR156" s="227"/>
      <c r="CT156" s="24"/>
      <c r="CU156" s="177" t="str">
        <f t="shared" si="116"/>
        <v xml:space="preserve"> </v>
      </c>
      <c r="CW156" s="66"/>
      <c r="CX156" s="66"/>
      <c r="CY156" s="66"/>
      <c r="CZ156" s="66"/>
      <c r="DA156" s="66"/>
      <c r="DB156" s="66"/>
      <c r="DC156" s="23"/>
      <c r="DD156" s="177"/>
      <c r="DJ156" s="232" t="s">
        <v>885</v>
      </c>
      <c r="DK156" s="234" t="s">
        <v>233</v>
      </c>
      <c r="DL156" s="234" t="s">
        <v>262</v>
      </c>
      <c r="DM156" s="235">
        <v>44576</v>
      </c>
      <c r="DN156" s="236">
        <v>2160</v>
      </c>
      <c r="DO156" s="237">
        <v>918</v>
      </c>
      <c r="DP156" s="236">
        <v>1409</v>
      </c>
      <c r="EF156" s="21"/>
      <c r="EG156" s="18"/>
      <c r="EH156" s="18"/>
      <c r="EI156" s="20"/>
      <c r="EX156" s="27"/>
      <c r="EY156" s="18"/>
      <c r="EZ156" s="20"/>
      <c r="FA156" s="18"/>
    </row>
    <row r="157" spans="46:157" x14ac:dyDescent="0.3">
      <c r="AT157" s="44" t="str">
        <f t="shared" si="117"/>
        <v>10_14T.L8.S</v>
      </c>
      <c r="AU157" s="18" t="s">
        <v>68</v>
      </c>
      <c r="AV157" s="18" t="s">
        <v>887</v>
      </c>
      <c r="AW157" s="20" t="s">
        <v>377</v>
      </c>
      <c r="AX157" s="228">
        <v>1220115</v>
      </c>
      <c r="AY157" s="229">
        <v>121</v>
      </c>
      <c r="BA157" s="91"/>
      <c r="CK157" s="160"/>
      <c r="CL157" s="18"/>
      <c r="CM157" s="18"/>
      <c r="CN157" s="18"/>
      <c r="CO157" s="23"/>
      <c r="CP157" s="226"/>
      <c r="CQ157" s="23"/>
      <c r="CR157" s="227"/>
      <c r="CT157" s="24"/>
      <c r="CU157" s="177" t="str">
        <f t="shared" si="116"/>
        <v xml:space="preserve"> </v>
      </c>
      <c r="CW157" s="66"/>
      <c r="CX157" s="66"/>
      <c r="CY157" s="66"/>
      <c r="CZ157" s="66"/>
      <c r="DA157" s="66"/>
      <c r="DB157" s="66"/>
      <c r="DC157" s="23"/>
      <c r="DD157" s="177"/>
      <c r="DJ157" s="232" t="s">
        <v>885</v>
      </c>
      <c r="DK157" s="234" t="s">
        <v>233</v>
      </c>
      <c r="DL157" s="234" t="s">
        <v>1146</v>
      </c>
      <c r="DM157" s="235">
        <v>44576</v>
      </c>
      <c r="DN157" s="236">
        <v>2160</v>
      </c>
      <c r="DO157" s="237">
        <v>1409</v>
      </c>
      <c r="DP157" s="236">
        <v>1409</v>
      </c>
      <c r="EF157" s="21"/>
      <c r="EG157" s="18"/>
      <c r="EH157" s="18"/>
      <c r="EI157" s="20"/>
      <c r="EX157" s="27"/>
      <c r="EY157" s="18"/>
      <c r="EZ157" s="20"/>
      <c r="FA157" s="18"/>
    </row>
    <row r="158" spans="46:157" x14ac:dyDescent="0.3">
      <c r="AT158" s="44" t="str">
        <f t="shared" si="117"/>
        <v>11_12T.L8.S</v>
      </c>
      <c r="AU158" s="18" t="s">
        <v>68</v>
      </c>
      <c r="AV158" s="18" t="s">
        <v>825</v>
      </c>
      <c r="AW158" s="20" t="s">
        <v>377</v>
      </c>
      <c r="AX158" s="228">
        <v>1220115</v>
      </c>
      <c r="AY158" s="229">
        <v>352</v>
      </c>
      <c r="BA158" s="91"/>
      <c r="CK158" s="160"/>
      <c r="CL158" s="18"/>
      <c r="CM158" s="18"/>
      <c r="CN158" s="18"/>
      <c r="CO158" s="23"/>
      <c r="CP158" s="226"/>
      <c r="CQ158" s="23"/>
      <c r="CR158" s="227"/>
      <c r="CT158" s="24"/>
      <c r="CU158" s="177" t="str">
        <f t="shared" si="116"/>
        <v xml:space="preserve"> </v>
      </c>
      <c r="CW158" s="66"/>
      <c r="CX158" s="66"/>
      <c r="CY158" s="66"/>
      <c r="CZ158" s="66"/>
      <c r="DA158" s="66"/>
      <c r="DB158" s="66"/>
      <c r="DC158" s="23"/>
      <c r="DD158" s="177"/>
      <c r="DJ158" s="232" t="s">
        <v>885</v>
      </c>
      <c r="DK158" s="234" t="s">
        <v>233</v>
      </c>
      <c r="DL158" s="234" t="s">
        <v>1149</v>
      </c>
      <c r="DM158" s="235">
        <v>44576</v>
      </c>
      <c r="DN158" s="236">
        <v>2160</v>
      </c>
      <c r="DO158" s="237">
        <v>918</v>
      </c>
      <c r="DP158" s="236">
        <v>1409</v>
      </c>
      <c r="EF158" s="21"/>
      <c r="EG158" s="18"/>
      <c r="EH158" s="18"/>
      <c r="EI158" s="20"/>
      <c r="EX158" s="27"/>
      <c r="EY158" s="18"/>
      <c r="EZ158" s="20"/>
      <c r="FA158" s="18"/>
    </row>
    <row r="159" spans="46:157" x14ac:dyDescent="0.3">
      <c r="AT159" s="44" t="str">
        <f t="shared" si="117"/>
        <v>11_13T.L8.S</v>
      </c>
      <c r="AU159" s="18" t="s">
        <v>68</v>
      </c>
      <c r="AV159" s="18" t="s">
        <v>857</v>
      </c>
      <c r="AW159" s="20" t="s">
        <v>377</v>
      </c>
      <c r="AX159" s="228">
        <v>1220115</v>
      </c>
      <c r="AY159" s="229">
        <v>301</v>
      </c>
      <c r="BA159" s="91"/>
      <c r="CK159" s="160"/>
      <c r="CL159" s="18"/>
      <c r="CM159" s="18"/>
      <c r="CN159" s="18"/>
      <c r="CO159" s="23"/>
      <c r="CP159" s="226"/>
      <c r="CQ159" s="23"/>
      <c r="CR159" s="47"/>
      <c r="CT159" s="24"/>
      <c r="CU159" s="177" t="str">
        <f t="shared" si="116"/>
        <v xml:space="preserve"> </v>
      </c>
      <c r="CW159" s="66"/>
      <c r="CX159" s="66"/>
      <c r="CY159" s="66"/>
      <c r="CZ159" s="66"/>
      <c r="DA159" s="66"/>
      <c r="DB159" s="66"/>
      <c r="DC159" s="23"/>
      <c r="DD159" s="177"/>
      <c r="DJ159" s="232" t="s">
        <v>885</v>
      </c>
      <c r="DK159" s="234" t="s">
        <v>233</v>
      </c>
      <c r="DL159" s="234" t="s">
        <v>1147</v>
      </c>
      <c r="DM159" s="235">
        <v>44576</v>
      </c>
      <c r="DN159" s="236">
        <v>2160</v>
      </c>
      <c r="DO159" s="237">
        <v>972</v>
      </c>
      <c r="DP159" s="236">
        <v>1409</v>
      </c>
      <c r="EF159" s="21"/>
      <c r="EG159" s="18"/>
      <c r="EH159" s="18"/>
      <c r="EI159" s="18"/>
      <c r="EX159" s="27"/>
      <c r="EY159" s="18"/>
      <c r="EZ159" s="20"/>
      <c r="FA159" s="18"/>
    </row>
    <row r="160" spans="46:157" x14ac:dyDescent="0.3">
      <c r="AT160" s="44" t="str">
        <f t="shared" si="117"/>
        <v>11_14T.L8.S</v>
      </c>
      <c r="AU160" s="18" t="s">
        <v>68</v>
      </c>
      <c r="AV160" s="18" t="s">
        <v>900</v>
      </c>
      <c r="AW160" s="20" t="s">
        <v>377</v>
      </c>
      <c r="AX160" s="228">
        <v>1220115</v>
      </c>
      <c r="AY160" s="229">
        <v>121</v>
      </c>
      <c r="BA160" s="91"/>
      <c r="CK160" s="160"/>
      <c r="CL160" s="18"/>
      <c r="CM160" s="18"/>
      <c r="CN160" s="18"/>
      <c r="CO160" s="23"/>
      <c r="CP160" s="226"/>
      <c r="CQ160" s="23"/>
      <c r="CR160" s="47"/>
      <c r="CT160" s="24"/>
      <c r="CU160" s="177" t="str">
        <f t="shared" si="116"/>
        <v xml:space="preserve"> </v>
      </c>
      <c r="CW160" s="66"/>
      <c r="CX160" s="66"/>
      <c r="CY160" s="66"/>
      <c r="CZ160" s="66"/>
      <c r="DA160" s="66"/>
      <c r="DB160" s="66"/>
      <c r="DC160" s="23"/>
      <c r="DD160" s="177"/>
      <c r="DJ160" s="232" t="s">
        <v>885</v>
      </c>
      <c r="DK160" s="234" t="s">
        <v>233</v>
      </c>
      <c r="DL160" s="234" t="s">
        <v>1148</v>
      </c>
      <c r="DM160" s="235">
        <v>44576</v>
      </c>
      <c r="DN160" s="236">
        <v>2160</v>
      </c>
      <c r="DO160" s="237">
        <v>918</v>
      </c>
      <c r="DP160" s="236">
        <v>1409</v>
      </c>
      <c r="EF160" s="19"/>
      <c r="EG160" s="18"/>
      <c r="EH160" s="18"/>
      <c r="EI160" s="18"/>
      <c r="EX160" s="27"/>
      <c r="EY160" s="18"/>
      <c r="EZ160" s="20"/>
      <c r="FA160" s="18"/>
    </row>
    <row r="161" spans="46:157" x14ac:dyDescent="0.3">
      <c r="AT161" s="44" t="str">
        <f t="shared" si="117"/>
        <v>12_13T.L8.S</v>
      </c>
      <c r="AU161" s="18" t="s">
        <v>68</v>
      </c>
      <c r="AV161" s="18" t="s">
        <v>865</v>
      </c>
      <c r="AW161" s="20" t="s">
        <v>377</v>
      </c>
      <c r="AX161" s="228">
        <v>1220115</v>
      </c>
      <c r="AY161" s="229">
        <v>301</v>
      </c>
      <c r="BA161" s="91"/>
      <c r="CK161" s="160"/>
      <c r="CL161" s="18"/>
      <c r="CM161" s="18"/>
      <c r="CN161" s="18"/>
      <c r="CO161" s="23"/>
      <c r="CP161" s="226"/>
      <c r="CQ161" s="23"/>
      <c r="CR161" s="47"/>
      <c r="CT161" s="24"/>
      <c r="CU161" s="177" t="str">
        <f t="shared" si="116"/>
        <v xml:space="preserve"> </v>
      </c>
      <c r="CW161" s="66"/>
      <c r="CX161" s="66"/>
      <c r="CY161" s="66"/>
      <c r="CZ161" s="66"/>
      <c r="DA161" s="66"/>
      <c r="DB161" s="66"/>
      <c r="DC161" s="23"/>
      <c r="DD161" s="177"/>
      <c r="DJ161" s="232" t="s">
        <v>911</v>
      </c>
      <c r="DK161" s="234" t="s">
        <v>233</v>
      </c>
      <c r="DL161" s="234" t="s">
        <v>300</v>
      </c>
      <c r="DM161" s="235">
        <v>44576</v>
      </c>
      <c r="DN161" s="236">
        <v>2000</v>
      </c>
      <c r="DO161" s="237">
        <v>900</v>
      </c>
      <c r="DP161" s="236">
        <v>1329</v>
      </c>
      <c r="EF161" s="21"/>
      <c r="EG161" s="18"/>
      <c r="EH161" s="18"/>
      <c r="EI161" s="18"/>
      <c r="EX161" s="27"/>
      <c r="EY161" s="18"/>
      <c r="EZ161" s="20"/>
      <c r="FA161" s="18"/>
    </row>
    <row r="162" spans="46:157" x14ac:dyDescent="0.3">
      <c r="AT162" s="44" t="str">
        <f t="shared" si="117"/>
        <v>12_14F.L8.S</v>
      </c>
      <c r="AU162" s="18" t="s">
        <v>68</v>
      </c>
      <c r="AV162" s="18" t="s">
        <v>583</v>
      </c>
      <c r="AW162" s="20" t="s">
        <v>377</v>
      </c>
      <c r="AX162" s="228">
        <v>1220115</v>
      </c>
      <c r="AY162" s="229">
        <v>121</v>
      </c>
      <c r="BA162" s="91"/>
      <c r="CK162" s="160"/>
      <c r="CL162" s="18"/>
      <c r="CM162" s="18"/>
      <c r="CN162" s="18"/>
      <c r="CO162" s="23"/>
      <c r="CP162" s="226"/>
      <c r="CQ162" s="23"/>
      <c r="CR162" s="47"/>
      <c r="CT162" s="24"/>
      <c r="CU162" s="177" t="str">
        <f t="shared" si="116"/>
        <v xml:space="preserve"> </v>
      </c>
      <c r="CW162" s="66"/>
      <c r="CX162" s="66"/>
      <c r="CY162" s="66"/>
      <c r="CZ162" s="66"/>
      <c r="DA162" s="66"/>
      <c r="DB162" s="66"/>
      <c r="DC162" s="23"/>
      <c r="DD162" s="177"/>
      <c r="DJ162" s="232" t="s">
        <v>911</v>
      </c>
      <c r="DK162" s="234" t="s">
        <v>233</v>
      </c>
      <c r="DL162" s="234" t="s">
        <v>262</v>
      </c>
      <c r="DM162" s="235">
        <v>44576</v>
      </c>
      <c r="DN162" s="236">
        <v>2000</v>
      </c>
      <c r="DO162" s="237">
        <v>850</v>
      </c>
      <c r="DP162" s="236">
        <v>1329</v>
      </c>
      <c r="EF162" s="21"/>
      <c r="EG162" s="18"/>
      <c r="EH162" s="18"/>
      <c r="EI162" s="18"/>
      <c r="EX162" s="27"/>
      <c r="EY162" s="18"/>
      <c r="EZ162" s="20"/>
      <c r="FA162" s="18"/>
    </row>
    <row r="163" spans="46:157" x14ac:dyDescent="0.3">
      <c r="AT163" s="44" t="str">
        <f t="shared" si="117"/>
        <v>12_14T.L8.S</v>
      </c>
      <c r="AU163" s="18" t="s">
        <v>68</v>
      </c>
      <c r="AV163" s="18" t="s">
        <v>913</v>
      </c>
      <c r="AW163" s="20" t="s">
        <v>377</v>
      </c>
      <c r="AX163" s="228">
        <v>1220115</v>
      </c>
      <c r="AY163" s="229">
        <v>121</v>
      </c>
      <c r="BA163" s="91"/>
      <c r="CK163" s="160"/>
      <c r="CL163" s="18"/>
      <c r="CM163" s="18"/>
      <c r="CN163" s="18"/>
      <c r="CO163" s="23"/>
      <c r="CP163" s="226"/>
      <c r="CQ163" s="23"/>
      <c r="CR163" s="47"/>
      <c r="CT163" s="24"/>
      <c r="CU163" s="177" t="str">
        <f t="shared" si="116"/>
        <v xml:space="preserve"> </v>
      </c>
      <c r="CW163" s="66"/>
      <c r="CX163" s="66"/>
      <c r="CY163" s="66"/>
      <c r="CZ163" s="66"/>
      <c r="DA163" s="66"/>
      <c r="DB163" s="66"/>
      <c r="DC163" s="23"/>
      <c r="DD163" s="177"/>
      <c r="DJ163" s="232" t="s">
        <v>911</v>
      </c>
      <c r="DK163" s="234" t="s">
        <v>233</v>
      </c>
      <c r="DL163" s="234" t="s">
        <v>1146</v>
      </c>
      <c r="DM163" s="235">
        <v>44576</v>
      </c>
      <c r="DN163" s="236">
        <v>2000</v>
      </c>
      <c r="DO163" s="237">
        <v>1329</v>
      </c>
      <c r="DP163" s="236">
        <v>1329</v>
      </c>
      <c r="EF163" s="21"/>
      <c r="EG163" s="18"/>
      <c r="EH163" s="18"/>
      <c r="EI163" s="20"/>
      <c r="EX163" s="27"/>
      <c r="EY163" s="18"/>
      <c r="EZ163" s="20"/>
      <c r="FA163" s="18"/>
    </row>
    <row r="164" spans="46:157" x14ac:dyDescent="0.3">
      <c r="AT164" s="44" t="str">
        <f t="shared" si="117"/>
        <v>12_15T.L8.S</v>
      </c>
      <c r="AU164" s="18" t="s">
        <v>68</v>
      </c>
      <c r="AV164" s="18" t="s">
        <v>941</v>
      </c>
      <c r="AW164" s="20" t="s">
        <v>377</v>
      </c>
      <c r="AX164" s="228">
        <v>1220115</v>
      </c>
      <c r="AY164" s="229">
        <v>121</v>
      </c>
      <c r="BA164" s="91"/>
      <c r="CK164" s="160"/>
      <c r="CL164" s="18"/>
      <c r="CM164" s="18"/>
      <c r="CN164" s="18"/>
      <c r="CO164" s="23"/>
      <c r="CP164" s="226"/>
      <c r="CQ164" s="23"/>
      <c r="CR164" s="47"/>
      <c r="CT164" s="24"/>
      <c r="CU164" s="177" t="str">
        <f t="shared" si="116"/>
        <v xml:space="preserve"> </v>
      </c>
      <c r="CW164" s="66"/>
      <c r="CX164" s="66"/>
      <c r="CY164" s="66"/>
      <c r="CZ164" s="66"/>
      <c r="DA164" s="66"/>
      <c r="DB164" s="66"/>
      <c r="DC164" s="23"/>
      <c r="DD164" s="177"/>
      <c r="DJ164" s="232" t="s">
        <v>911</v>
      </c>
      <c r="DK164" s="234" t="s">
        <v>233</v>
      </c>
      <c r="DL164" s="234" t="s">
        <v>1149</v>
      </c>
      <c r="DM164" s="235">
        <v>44576</v>
      </c>
      <c r="DN164" s="236">
        <v>2000</v>
      </c>
      <c r="DO164" s="237">
        <v>850</v>
      </c>
      <c r="DP164" s="236">
        <v>1329</v>
      </c>
      <c r="EF164" s="19"/>
      <c r="EG164" s="18"/>
      <c r="EH164" s="18"/>
      <c r="EI164" s="18"/>
      <c r="EX164" s="27"/>
      <c r="EY164" s="18"/>
      <c r="EZ164" s="20"/>
      <c r="FA164" s="18"/>
    </row>
    <row r="165" spans="46:157" x14ac:dyDescent="0.3">
      <c r="AT165" s="44" t="str">
        <f t="shared" si="117"/>
        <v>12_18B.L8.S</v>
      </c>
      <c r="AU165" s="18" t="s">
        <v>68</v>
      </c>
      <c r="AV165" s="18" t="s">
        <v>133</v>
      </c>
      <c r="AW165" s="20" t="s">
        <v>377</v>
      </c>
      <c r="AX165" s="228">
        <v>1220115</v>
      </c>
      <c r="AY165" s="229">
        <v>186</v>
      </c>
      <c r="BA165" s="91"/>
      <c r="CK165" s="160"/>
      <c r="CL165" s="18"/>
      <c r="CM165" s="18"/>
      <c r="CN165" s="18"/>
      <c r="CO165" s="23"/>
      <c r="CP165" s="226"/>
      <c r="CQ165" s="23"/>
      <c r="CR165" s="47"/>
      <c r="CT165" s="24"/>
      <c r="CU165" s="177" t="str">
        <f t="shared" si="116"/>
        <v xml:space="preserve"> </v>
      </c>
      <c r="CW165" s="66"/>
      <c r="CX165" s="66"/>
      <c r="CY165" s="66"/>
      <c r="CZ165" s="66"/>
      <c r="DA165" s="66"/>
      <c r="DB165" s="66"/>
      <c r="DC165" s="23"/>
      <c r="DD165" s="177"/>
      <c r="DJ165" s="232" t="s">
        <v>911</v>
      </c>
      <c r="DK165" s="234" t="s">
        <v>233</v>
      </c>
      <c r="DL165" s="234" t="s">
        <v>1147</v>
      </c>
      <c r="DM165" s="235">
        <v>44576</v>
      </c>
      <c r="DN165" s="236">
        <v>2000</v>
      </c>
      <c r="DO165" s="237">
        <v>900</v>
      </c>
      <c r="DP165" s="236">
        <v>1329</v>
      </c>
      <c r="EF165" s="19"/>
      <c r="EG165" s="18"/>
      <c r="EH165" s="18"/>
      <c r="EI165" s="18"/>
      <c r="EX165" s="27"/>
      <c r="EY165" s="18"/>
      <c r="EZ165" s="20"/>
      <c r="FA165" s="18"/>
    </row>
    <row r="166" spans="46:157" x14ac:dyDescent="0.3">
      <c r="AT166" s="44" t="str">
        <f t="shared" si="117"/>
        <v>12_20B.L8.S</v>
      </c>
      <c r="AU166" s="18" t="s">
        <v>68</v>
      </c>
      <c r="AV166" s="18" t="s">
        <v>217</v>
      </c>
      <c r="AW166" s="20" t="s">
        <v>377</v>
      </c>
      <c r="AX166" s="228">
        <v>1220115</v>
      </c>
      <c r="AY166" s="229">
        <v>189</v>
      </c>
      <c r="BA166" s="91"/>
      <c r="CK166" s="160"/>
      <c r="CL166" s="18"/>
      <c r="CM166" s="18"/>
      <c r="CN166" s="18"/>
      <c r="CO166" s="23"/>
      <c r="CP166" s="226"/>
      <c r="CQ166" s="23"/>
      <c r="CR166" s="47"/>
      <c r="CT166" s="163"/>
      <c r="CU166" s="177" t="str">
        <f t="shared" si="116"/>
        <v xml:space="preserve"> </v>
      </c>
      <c r="CW166" s="66"/>
      <c r="CX166" s="66"/>
      <c r="CY166" s="66"/>
      <c r="CZ166" s="66"/>
      <c r="DA166" s="66"/>
      <c r="DB166" s="66"/>
      <c r="DC166" s="23"/>
      <c r="DD166" s="177"/>
      <c r="DJ166" s="232" t="s">
        <v>911</v>
      </c>
      <c r="DK166" s="234" t="s">
        <v>233</v>
      </c>
      <c r="DL166" s="234" t="s">
        <v>1148</v>
      </c>
      <c r="DM166" s="235">
        <v>44576</v>
      </c>
      <c r="DN166" s="236">
        <v>2000</v>
      </c>
      <c r="DO166" s="237">
        <v>850</v>
      </c>
      <c r="DP166" s="236">
        <v>1329</v>
      </c>
      <c r="EF166" s="19"/>
      <c r="EG166" s="18"/>
      <c r="EH166" s="18"/>
      <c r="EI166" s="20"/>
      <c r="EX166" s="27"/>
      <c r="EY166" s="18"/>
      <c r="EZ166" s="20"/>
      <c r="FA166" s="18"/>
    </row>
    <row r="167" spans="46:157" x14ac:dyDescent="0.3">
      <c r="AT167" s="44" t="str">
        <f t="shared" si="117"/>
        <v>12_22B.L8.S</v>
      </c>
      <c r="AU167" s="18" t="s">
        <v>68</v>
      </c>
      <c r="AV167" s="18" t="s">
        <v>330</v>
      </c>
      <c r="AW167" s="20" t="s">
        <v>377</v>
      </c>
      <c r="AX167" s="228">
        <v>1220115</v>
      </c>
      <c r="AY167" s="229">
        <v>94</v>
      </c>
      <c r="BA167" s="91"/>
      <c r="CK167" s="160"/>
      <c r="CL167" s="18"/>
      <c r="CM167" s="18"/>
      <c r="CN167" s="18"/>
      <c r="CO167" s="23"/>
      <c r="CP167" s="226"/>
      <c r="CQ167" s="163"/>
      <c r="CR167" s="47"/>
      <c r="CT167" s="163"/>
      <c r="CU167" s="177" t="str">
        <f t="shared" si="116"/>
        <v xml:space="preserve"> </v>
      </c>
      <c r="CW167" s="66"/>
      <c r="CX167" s="66"/>
      <c r="CY167" s="66"/>
      <c r="CZ167" s="66"/>
      <c r="DA167" s="66"/>
      <c r="DB167" s="66"/>
      <c r="DC167" s="23"/>
      <c r="DD167" s="177"/>
      <c r="DJ167" s="232" t="s">
        <v>1186</v>
      </c>
      <c r="DK167" s="234" t="s">
        <v>233</v>
      </c>
      <c r="DL167" s="234" t="s">
        <v>300</v>
      </c>
      <c r="DM167" s="235">
        <v>44576</v>
      </c>
      <c r="DN167" s="236">
        <v>1400</v>
      </c>
      <c r="DO167" s="237">
        <v>630</v>
      </c>
      <c r="DP167" s="236">
        <v>919</v>
      </c>
      <c r="EF167" s="19"/>
      <c r="EG167" s="18"/>
      <c r="EH167" s="18"/>
      <c r="EI167" s="20"/>
      <c r="EX167" s="27"/>
      <c r="EY167" s="18"/>
      <c r="EZ167" s="20"/>
      <c r="FA167" s="18"/>
    </row>
    <row r="168" spans="46:157" x14ac:dyDescent="0.3">
      <c r="AT168" s="44" t="str">
        <f t="shared" si="117"/>
        <v>12_24B.L8.S</v>
      </c>
      <c r="AU168" s="18" t="s">
        <v>68</v>
      </c>
      <c r="AV168" s="18" t="s">
        <v>413</v>
      </c>
      <c r="AW168" s="20" t="s">
        <v>377</v>
      </c>
      <c r="AX168" s="228">
        <v>1220115</v>
      </c>
      <c r="AY168" s="229">
        <v>94</v>
      </c>
      <c r="BA168" s="91"/>
      <c r="CK168" s="160"/>
      <c r="CL168" s="18"/>
      <c r="CM168" s="18"/>
      <c r="CN168" s="18"/>
      <c r="CO168" s="23"/>
      <c r="CP168" s="226"/>
      <c r="CQ168" s="163"/>
      <c r="CR168" s="47"/>
      <c r="CT168" s="163"/>
      <c r="DJ168" s="232" t="s">
        <v>1186</v>
      </c>
      <c r="DK168" s="234" t="s">
        <v>233</v>
      </c>
      <c r="DL168" s="234" t="s">
        <v>262</v>
      </c>
      <c r="DM168" s="235">
        <v>44576</v>
      </c>
      <c r="DN168" s="236">
        <v>1400</v>
      </c>
      <c r="DO168" s="237">
        <v>595</v>
      </c>
      <c r="DP168" s="236">
        <v>919</v>
      </c>
      <c r="EF168" s="21"/>
      <c r="EG168" s="18"/>
      <c r="EH168" s="18"/>
      <c r="EI168" s="18"/>
      <c r="EX168" s="27"/>
      <c r="EY168" s="18"/>
      <c r="EZ168" s="20"/>
      <c r="FA168" s="18"/>
    </row>
    <row r="169" spans="46:157" x14ac:dyDescent="0.3">
      <c r="AT169" s="44" t="str">
        <f t="shared" si="117"/>
        <v>12_26B.L8.S</v>
      </c>
      <c r="AU169" s="18" t="s">
        <v>68</v>
      </c>
      <c r="AV169" s="18" t="s">
        <v>494</v>
      </c>
      <c r="AW169" s="20" t="s">
        <v>377</v>
      </c>
      <c r="AX169" s="228">
        <v>1220115</v>
      </c>
      <c r="AY169" s="229">
        <v>94</v>
      </c>
      <c r="BA169" s="91"/>
      <c r="CK169" s="160"/>
      <c r="CL169" s="18"/>
      <c r="CM169" s="18"/>
      <c r="CN169" s="18"/>
      <c r="CO169" s="23"/>
      <c r="CP169" s="226"/>
      <c r="CQ169" s="163"/>
      <c r="CR169" s="224"/>
      <c r="CS169" s="23"/>
      <c r="CT169" s="163"/>
      <c r="CW169" s="90"/>
      <c r="CX169" s="90"/>
      <c r="CY169" s="90"/>
      <c r="CZ169" s="90"/>
      <c r="DA169" s="90"/>
      <c r="DB169" s="90"/>
      <c r="DJ169" s="232" t="s">
        <v>1186</v>
      </c>
      <c r="DK169" s="234" t="s">
        <v>233</v>
      </c>
      <c r="DL169" s="234" t="s">
        <v>1146</v>
      </c>
      <c r="DM169" s="235">
        <v>44576</v>
      </c>
      <c r="DN169" s="236">
        <v>1400</v>
      </c>
      <c r="DO169" s="237">
        <v>919</v>
      </c>
      <c r="DP169" s="236">
        <v>919</v>
      </c>
      <c r="EF169" s="19"/>
      <c r="EG169" s="18"/>
      <c r="EH169" s="18"/>
      <c r="EI169" s="18"/>
      <c r="EX169" s="27"/>
      <c r="EY169" s="18"/>
      <c r="EZ169" s="20"/>
      <c r="FA169" s="18"/>
    </row>
    <row r="170" spans="46:157" x14ac:dyDescent="0.3">
      <c r="AT170" s="44" t="str">
        <f t="shared" si="117"/>
        <v>13_14F.L8.S</v>
      </c>
      <c r="AU170" s="18" t="s">
        <v>68</v>
      </c>
      <c r="AV170" s="18" t="s">
        <v>602</v>
      </c>
      <c r="AW170" s="20" t="s">
        <v>377</v>
      </c>
      <c r="AX170" s="228">
        <v>1220115</v>
      </c>
      <c r="AY170" s="229">
        <v>121</v>
      </c>
      <c r="BA170" s="91"/>
      <c r="CK170" s="160"/>
      <c r="CL170" s="18"/>
      <c r="CM170" s="18"/>
      <c r="CN170" s="18"/>
      <c r="CO170" s="23"/>
      <c r="CP170" s="226"/>
      <c r="CQ170" s="163"/>
      <c r="CR170" s="227"/>
      <c r="CT170" s="163"/>
      <c r="DJ170" s="232" t="s">
        <v>1186</v>
      </c>
      <c r="DK170" s="234" t="s">
        <v>233</v>
      </c>
      <c r="DL170" s="234" t="s">
        <v>1149</v>
      </c>
      <c r="DM170" s="235">
        <v>44576</v>
      </c>
      <c r="DN170" s="236">
        <v>1400</v>
      </c>
      <c r="DO170" s="237">
        <v>595</v>
      </c>
      <c r="DP170" s="236">
        <v>919</v>
      </c>
      <c r="EF170" s="19"/>
      <c r="EG170" s="18"/>
      <c r="EH170" s="18"/>
      <c r="EI170" s="18"/>
      <c r="EX170" s="27"/>
      <c r="EY170" s="18"/>
      <c r="EZ170" s="20"/>
      <c r="FA170" s="18"/>
    </row>
    <row r="171" spans="46:157" x14ac:dyDescent="0.3">
      <c r="AT171" s="44" t="str">
        <f t="shared" si="117"/>
        <v>13_14T.L8.S</v>
      </c>
      <c r="AU171" s="18" t="s">
        <v>68</v>
      </c>
      <c r="AV171" s="18" t="s">
        <v>926</v>
      </c>
      <c r="AW171" s="20" t="s">
        <v>377</v>
      </c>
      <c r="AX171" s="228">
        <v>1220115</v>
      </c>
      <c r="AY171" s="229">
        <v>121</v>
      </c>
      <c r="BA171" s="91"/>
      <c r="CK171" s="160"/>
      <c r="CL171" s="18"/>
      <c r="CM171" s="18"/>
      <c r="CN171" s="18"/>
      <c r="CO171" s="23"/>
      <c r="CP171" s="226"/>
      <c r="CQ171" s="163"/>
      <c r="CR171" s="227"/>
      <c r="CT171" s="163"/>
      <c r="DJ171" s="232" t="s">
        <v>1186</v>
      </c>
      <c r="DK171" s="234" t="s">
        <v>233</v>
      </c>
      <c r="DL171" s="234" t="s">
        <v>1147</v>
      </c>
      <c r="DM171" s="235">
        <v>44576</v>
      </c>
      <c r="DN171" s="236">
        <v>1400</v>
      </c>
      <c r="DO171" s="237">
        <v>630</v>
      </c>
      <c r="DP171" s="236">
        <v>919</v>
      </c>
      <c r="EF171" s="21"/>
      <c r="EG171" s="18"/>
      <c r="EH171" s="18"/>
      <c r="EI171" s="18"/>
      <c r="EX171" s="27"/>
      <c r="EY171" s="18"/>
      <c r="EZ171" s="20"/>
      <c r="FA171" s="18"/>
    </row>
    <row r="172" spans="46:157" x14ac:dyDescent="0.3">
      <c r="AT172" s="44" t="str">
        <f t="shared" si="117"/>
        <v>13_15F.L8.S</v>
      </c>
      <c r="AU172" s="18" t="s">
        <v>68</v>
      </c>
      <c r="AV172" s="18" t="s">
        <v>630</v>
      </c>
      <c r="AW172" s="20" t="s">
        <v>377</v>
      </c>
      <c r="AX172" s="228">
        <v>1220115</v>
      </c>
      <c r="AY172" s="229">
        <v>121</v>
      </c>
      <c r="BA172" s="91"/>
      <c r="CK172" s="160"/>
      <c r="CL172" s="18"/>
      <c r="CM172" s="18"/>
      <c r="CN172" s="18"/>
      <c r="CO172" s="23"/>
      <c r="CP172" s="226"/>
      <c r="CQ172" s="163"/>
      <c r="CR172" s="227"/>
      <c r="CT172" s="163"/>
      <c r="DJ172" s="232" t="s">
        <v>1186</v>
      </c>
      <c r="DK172" s="234" t="s">
        <v>233</v>
      </c>
      <c r="DL172" s="234" t="s">
        <v>1148</v>
      </c>
      <c r="DM172" s="235">
        <v>44576</v>
      </c>
      <c r="DN172" s="236">
        <v>1400</v>
      </c>
      <c r="DO172" s="237">
        <v>595</v>
      </c>
      <c r="DP172" s="236">
        <v>919</v>
      </c>
      <c r="EF172" s="21"/>
      <c r="EG172" s="18"/>
      <c r="EH172" s="18"/>
      <c r="EI172" s="18"/>
      <c r="EX172" s="27"/>
      <c r="EY172" s="18"/>
      <c r="EZ172" s="20"/>
      <c r="FA172" s="18"/>
    </row>
    <row r="173" spans="46:157" x14ac:dyDescent="0.3">
      <c r="AT173" s="44" t="str">
        <f t="shared" si="117"/>
        <v>13_15T.L8.S</v>
      </c>
      <c r="AU173" s="18" t="s">
        <v>68</v>
      </c>
      <c r="AV173" s="18" t="s">
        <v>949</v>
      </c>
      <c r="AW173" s="20" t="s">
        <v>377</v>
      </c>
      <c r="AX173" s="228">
        <v>1220115</v>
      </c>
      <c r="AY173" s="229">
        <v>121</v>
      </c>
      <c r="BA173" s="91"/>
      <c r="CK173" s="160"/>
      <c r="CL173" s="18"/>
      <c r="CM173" s="18"/>
      <c r="CN173" s="18"/>
      <c r="CO173" s="23"/>
      <c r="CP173" s="226"/>
      <c r="CQ173" s="163"/>
      <c r="CT173" s="163"/>
      <c r="DJ173" s="232" t="s">
        <v>924</v>
      </c>
      <c r="DK173" s="234" t="s">
        <v>233</v>
      </c>
      <c r="DL173" s="234" t="s">
        <v>300</v>
      </c>
      <c r="DM173" s="235">
        <v>44576</v>
      </c>
      <c r="DN173" s="236">
        <v>1304</v>
      </c>
      <c r="DO173" s="237">
        <v>586.79999999999995</v>
      </c>
      <c r="DP173" s="236">
        <v>849</v>
      </c>
      <c r="EF173" s="19"/>
      <c r="EG173" s="18"/>
      <c r="EH173" s="18"/>
      <c r="EI173" s="18"/>
      <c r="EX173" s="27"/>
      <c r="EY173" s="18"/>
      <c r="EZ173" s="20"/>
      <c r="FA173" s="18"/>
    </row>
    <row r="174" spans="46:157" x14ac:dyDescent="0.3">
      <c r="AT174" s="44" t="str">
        <f t="shared" si="117"/>
        <v>13_16F.L8.S</v>
      </c>
      <c r="AU174" s="18" t="s">
        <v>68</v>
      </c>
      <c r="AV174" s="18" t="s">
        <v>665</v>
      </c>
      <c r="AW174" s="20" t="s">
        <v>377</v>
      </c>
      <c r="AX174" s="228">
        <v>1220115</v>
      </c>
      <c r="AY174" s="229">
        <v>243</v>
      </c>
      <c r="BA174" s="91"/>
      <c r="CK174" s="160"/>
      <c r="CL174" s="18"/>
      <c r="CM174" s="18"/>
      <c r="CN174" s="18"/>
      <c r="CO174" s="23"/>
      <c r="CP174" s="226"/>
      <c r="CQ174" s="163"/>
      <c r="CT174" s="163"/>
      <c r="DJ174" s="232" t="s">
        <v>924</v>
      </c>
      <c r="DK174" s="234" t="s">
        <v>233</v>
      </c>
      <c r="DL174" s="234" t="s">
        <v>262</v>
      </c>
      <c r="DM174" s="235">
        <v>44576</v>
      </c>
      <c r="DN174" s="236">
        <v>1304</v>
      </c>
      <c r="DO174" s="237">
        <v>554.20000000000005</v>
      </c>
      <c r="DP174" s="236">
        <v>849</v>
      </c>
      <c r="EF174" s="19"/>
      <c r="EG174" s="18"/>
      <c r="EH174" s="18"/>
      <c r="EI174" s="18"/>
      <c r="EX174" s="27"/>
      <c r="EY174" s="18"/>
      <c r="EZ174" s="20"/>
      <c r="FA174" s="18"/>
    </row>
    <row r="175" spans="46:157" x14ac:dyDescent="0.3">
      <c r="AT175" s="44" t="str">
        <f t="shared" si="117"/>
        <v>14_14F.L8.S</v>
      </c>
      <c r="AU175" s="18" t="s">
        <v>68</v>
      </c>
      <c r="AV175" s="18" t="s">
        <v>616</v>
      </c>
      <c r="AW175" s="20" t="s">
        <v>377</v>
      </c>
      <c r="AX175" s="228">
        <v>1220115</v>
      </c>
      <c r="AY175" s="229">
        <v>121</v>
      </c>
      <c r="BA175" s="91"/>
      <c r="CK175" s="160"/>
      <c r="CL175" s="18"/>
      <c r="CM175" s="18"/>
      <c r="CN175" s="18"/>
      <c r="CO175" s="23"/>
      <c r="CP175" s="226"/>
      <c r="CQ175" s="163"/>
      <c r="CT175" s="163"/>
      <c r="DJ175" s="232" t="s">
        <v>924</v>
      </c>
      <c r="DK175" s="234" t="s">
        <v>233</v>
      </c>
      <c r="DL175" s="234" t="s">
        <v>1146</v>
      </c>
      <c r="DM175" s="235">
        <v>44576</v>
      </c>
      <c r="DN175" s="236">
        <v>1304</v>
      </c>
      <c r="DO175" s="237">
        <v>849</v>
      </c>
      <c r="DP175" s="236">
        <v>849</v>
      </c>
      <c r="EF175" s="19"/>
      <c r="EG175" s="18"/>
      <c r="EH175" s="18"/>
      <c r="EI175" s="18"/>
      <c r="EX175" s="27"/>
      <c r="EY175" s="18"/>
      <c r="EZ175" s="20"/>
      <c r="FA175" s="18"/>
    </row>
    <row r="176" spans="46:157" x14ac:dyDescent="0.3">
      <c r="AT176" s="44" t="str">
        <f t="shared" si="117"/>
        <v>14_14T.L8.S</v>
      </c>
      <c r="AU176" s="18" t="s">
        <v>68</v>
      </c>
      <c r="AV176" s="18" t="s">
        <v>933</v>
      </c>
      <c r="AW176" s="20" t="s">
        <v>377</v>
      </c>
      <c r="AX176" s="228">
        <v>1220115</v>
      </c>
      <c r="AY176" s="229">
        <v>121</v>
      </c>
      <c r="BA176" s="91"/>
      <c r="CK176" s="160"/>
      <c r="CL176" s="18"/>
      <c r="CM176" s="18"/>
      <c r="CN176" s="18"/>
      <c r="CO176" s="23"/>
      <c r="CP176" s="226"/>
      <c r="CQ176" s="163"/>
      <c r="CT176" s="163"/>
      <c r="DJ176" s="232" t="s">
        <v>924</v>
      </c>
      <c r="DK176" s="234" t="s">
        <v>233</v>
      </c>
      <c r="DL176" s="234" t="s">
        <v>1149</v>
      </c>
      <c r="DM176" s="235">
        <v>44576</v>
      </c>
      <c r="DN176" s="236">
        <v>1304</v>
      </c>
      <c r="DO176" s="237">
        <v>554.20000000000005</v>
      </c>
      <c r="DP176" s="236">
        <v>849</v>
      </c>
      <c r="EF176" s="19"/>
      <c r="EG176" s="18"/>
      <c r="EH176" s="18"/>
      <c r="EI176" s="18"/>
      <c r="EX176" s="27"/>
      <c r="EY176" s="18"/>
      <c r="EZ176" s="20"/>
      <c r="FA176" s="18"/>
    </row>
    <row r="177" spans="46:157" x14ac:dyDescent="0.3">
      <c r="AT177" s="44" t="str">
        <f t="shared" si="117"/>
        <v>14_15F.L8.S</v>
      </c>
      <c r="AU177" s="18" t="s">
        <v>68</v>
      </c>
      <c r="AV177" s="18" t="s">
        <v>647</v>
      </c>
      <c r="AW177" s="20" t="s">
        <v>377</v>
      </c>
      <c r="AX177" s="228">
        <v>1220115</v>
      </c>
      <c r="AY177" s="229">
        <v>121</v>
      </c>
      <c r="BA177" s="91"/>
      <c r="CK177" s="160"/>
      <c r="CL177" s="18"/>
      <c r="CM177" s="18"/>
      <c r="CN177" s="18"/>
      <c r="CO177" s="23"/>
      <c r="CP177" s="226"/>
      <c r="CQ177" s="163"/>
      <c r="CR177" s="156"/>
      <c r="CS177" s="11"/>
      <c r="CT177" s="163"/>
      <c r="DJ177" s="232" t="s">
        <v>924</v>
      </c>
      <c r="DK177" s="234" t="s">
        <v>233</v>
      </c>
      <c r="DL177" s="234" t="s">
        <v>1147</v>
      </c>
      <c r="DM177" s="235">
        <v>44576</v>
      </c>
      <c r="DN177" s="236">
        <v>1304</v>
      </c>
      <c r="DO177" s="237">
        <v>586.79999999999995</v>
      </c>
      <c r="DP177" s="236">
        <v>849</v>
      </c>
      <c r="EF177" s="19"/>
      <c r="EG177" s="18"/>
      <c r="EH177" s="18"/>
      <c r="EI177" s="18"/>
      <c r="EX177" s="27"/>
      <c r="EY177" s="18"/>
      <c r="EZ177" s="20"/>
      <c r="FA177" s="18"/>
    </row>
    <row r="178" spans="46:157" x14ac:dyDescent="0.3">
      <c r="AT178" s="44" t="str">
        <f t="shared" si="117"/>
        <v>14_15T.L8.S</v>
      </c>
      <c r="AU178" s="18" t="s">
        <v>68</v>
      </c>
      <c r="AV178" s="18" t="s">
        <v>956</v>
      </c>
      <c r="AW178" s="20" t="s">
        <v>377</v>
      </c>
      <c r="AX178" s="228">
        <v>1220115</v>
      </c>
      <c r="AY178" s="229">
        <v>121</v>
      </c>
      <c r="BA178" s="91"/>
      <c r="CK178" s="160"/>
      <c r="CL178" s="18"/>
      <c r="CM178" s="18"/>
      <c r="CN178" s="18"/>
      <c r="CO178" s="23"/>
      <c r="CP178" s="226"/>
      <c r="CQ178" s="163"/>
      <c r="CR178" s="47"/>
      <c r="CT178" s="163"/>
      <c r="DJ178" s="232" t="s">
        <v>924</v>
      </c>
      <c r="DK178" s="234" t="s">
        <v>233</v>
      </c>
      <c r="DL178" s="234" t="s">
        <v>1148</v>
      </c>
      <c r="DM178" s="235">
        <v>44576</v>
      </c>
      <c r="DN178" s="236">
        <v>1304</v>
      </c>
      <c r="DO178" s="237">
        <v>554.20000000000005</v>
      </c>
      <c r="DP178" s="236">
        <v>849</v>
      </c>
      <c r="EF178" s="19"/>
      <c r="EG178" s="18"/>
      <c r="EH178" s="18"/>
      <c r="EI178" s="18"/>
      <c r="EX178" s="27"/>
      <c r="EY178" s="18"/>
      <c r="EZ178" s="20"/>
      <c r="FA178" s="18"/>
    </row>
    <row r="179" spans="46:157" x14ac:dyDescent="0.3">
      <c r="AT179" s="44" t="str">
        <f t="shared" si="117"/>
        <v>14_16F.L8.S</v>
      </c>
      <c r="AU179" s="18" t="s">
        <v>68</v>
      </c>
      <c r="AV179" s="18" t="s">
        <v>681</v>
      </c>
      <c r="AW179" s="20" t="s">
        <v>377</v>
      </c>
      <c r="AX179" s="228">
        <v>1220115</v>
      </c>
      <c r="AY179" s="229">
        <v>243</v>
      </c>
      <c r="BA179" s="91"/>
      <c r="CK179" s="160"/>
      <c r="CL179" s="18"/>
      <c r="CM179" s="18"/>
      <c r="CN179" s="18"/>
      <c r="CO179" s="23"/>
      <c r="CP179" s="226"/>
      <c r="CQ179" s="163"/>
      <c r="CR179" s="165"/>
      <c r="CT179" s="163"/>
      <c r="DJ179" s="232" t="s">
        <v>898</v>
      </c>
      <c r="DK179" s="234" t="s">
        <v>233</v>
      </c>
      <c r="DL179" s="234" t="s">
        <v>300</v>
      </c>
      <c r="DM179" s="235">
        <v>44576</v>
      </c>
      <c r="DN179" s="236">
        <v>1944</v>
      </c>
      <c r="DO179" s="237">
        <v>874.8</v>
      </c>
      <c r="DP179" s="236">
        <v>1259</v>
      </c>
      <c r="EF179" s="19"/>
      <c r="EG179" s="18"/>
      <c r="EH179" s="18"/>
      <c r="EI179" s="18"/>
      <c r="EX179" s="27"/>
      <c r="EY179" s="18"/>
      <c r="EZ179" s="20"/>
      <c r="FA179" s="18"/>
    </row>
    <row r="180" spans="46:157" x14ac:dyDescent="0.3">
      <c r="AT180" s="44" t="str">
        <f t="shared" si="117"/>
        <v>14_16T.L8.S</v>
      </c>
      <c r="AU180" s="18" t="s">
        <v>68</v>
      </c>
      <c r="AV180" s="18" t="s">
        <v>970</v>
      </c>
      <c r="AW180" s="20" t="s">
        <v>377</v>
      </c>
      <c r="AX180" s="228">
        <v>1220115</v>
      </c>
      <c r="AY180" s="229">
        <v>243</v>
      </c>
      <c r="BA180" s="91"/>
      <c r="CK180" s="160"/>
      <c r="CL180" s="18"/>
      <c r="CM180" s="18"/>
      <c r="CN180" s="18"/>
      <c r="CO180" s="23"/>
      <c r="CP180" s="226"/>
      <c r="CQ180" s="163"/>
      <c r="CR180" s="165"/>
      <c r="CT180" s="163"/>
      <c r="CV180" s="7" t="s">
        <v>1187</v>
      </c>
      <c r="DC180" s="13"/>
      <c r="DJ180" s="232" t="s">
        <v>898</v>
      </c>
      <c r="DK180" s="234" t="s">
        <v>233</v>
      </c>
      <c r="DL180" s="234" t="s">
        <v>262</v>
      </c>
      <c r="DM180" s="235">
        <v>44576</v>
      </c>
      <c r="DN180" s="236">
        <v>1944</v>
      </c>
      <c r="DO180" s="237">
        <v>826.2</v>
      </c>
      <c r="DP180" s="236">
        <v>1259</v>
      </c>
      <c r="EF180" s="19"/>
      <c r="EG180" s="18"/>
      <c r="EH180" s="18"/>
      <c r="EI180" s="18"/>
      <c r="EX180" s="27"/>
      <c r="EY180" s="18"/>
      <c r="EZ180" s="20"/>
      <c r="FA180" s="18"/>
    </row>
    <row r="181" spans="46:157" x14ac:dyDescent="0.3">
      <c r="AT181" s="44" t="str">
        <f t="shared" si="117"/>
        <v>14_18B.L8.S</v>
      </c>
      <c r="AU181" s="18" t="s">
        <v>68</v>
      </c>
      <c r="AV181" s="18" t="s">
        <v>160</v>
      </c>
      <c r="AW181" s="20" t="s">
        <v>377</v>
      </c>
      <c r="AX181" s="228">
        <v>1220115</v>
      </c>
      <c r="AY181" s="229">
        <v>186</v>
      </c>
      <c r="BA181" s="91"/>
      <c r="CK181" s="160"/>
      <c r="CL181" s="18"/>
      <c r="CM181" s="18"/>
      <c r="CN181" s="18"/>
      <c r="CO181" s="23"/>
      <c r="CP181" s="226"/>
      <c r="CQ181" s="163"/>
      <c r="CR181" s="165"/>
      <c r="CT181" s="163"/>
      <c r="CV181" s="7" t="s">
        <v>1188</v>
      </c>
      <c r="DC181" s="13"/>
      <c r="DJ181" s="232" t="s">
        <v>898</v>
      </c>
      <c r="DK181" s="234" t="s">
        <v>233</v>
      </c>
      <c r="DL181" s="234" t="s">
        <v>1146</v>
      </c>
      <c r="DM181" s="235">
        <v>44576</v>
      </c>
      <c r="DN181" s="236">
        <v>1944</v>
      </c>
      <c r="DO181" s="237">
        <v>1259</v>
      </c>
      <c r="DP181" s="236">
        <v>1259</v>
      </c>
      <c r="EF181" s="19"/>
      <c r="EG181" s="18"/>
      <c r="EH181" s="18"/>
      <c r="EI181" s="18"/>
      <c r="EX181" s="27"/>
      <c r="EY181" s="18"/>
      <c r="EZ181" s="20"/>
      <c r="FA181" s="18"/>
    </row>
    <row r="182" spans="46:157" x14ac:dyDescent="0.3">
      <c r="AT182" s="44" t="str">
        <f t="shared" si="117"/>
        <v>14_20B.L8.S</v>
      </c>
      <c r="AU182" s="18" t="s">
        <v>68</v>
      </c>
      <c r="AV182" s="18" t="s">
        <v>253</v>
      </c>
      <c r="AW182" s="20" t="s">
        <v>377</v>
      </c>
      <c r="AX182" s="228">
        <v>1220115</v>
      </c>
      <c r="AY182" s="229">
        <v>189</v>
      </c>
      <c r="BA182" s="91"/>
      <c r="CK182" s="160"/>
      <c r="CL182" s="18"/>
      <c r="CM182" s="18"/>
      <c r="CN182" s="18"/>
      <c r="CO182" s="23"/>
      <c r="CP182" s="226"/>
      <c r="CQ182" s="163"/>
      <c r="CR182" s="166"/>
      <c r="CT182" s="163"/>
      <c r="CV182" s="7" t="s">
        <v>1189</v>
      </c>
      <c r="DC182" s="13"/>
      <c r="DJ182" s="232" t="s">
        <v>898</v>
      </c>
      <c r="DK182" s="234" t="s">
        <v>233</v>
      </c>
      <c r="DL182" s="234" t="s">
        <v>1149</v>
      </c>
      <c r="DM182" s="235">
        <v>44576</v>
      </c>
      <c r="DN182" s="236">
        <v>1944</v>
      </c>
      <c r="DO182" s="237">
        <v>826.2</v>
      </c>
      <c r="DP182" s="236">
        <v>1259</v>
      </c>
      <c r="EF182" s="19"/>
      <c r="EG182" s="18"/>
      <c r="EH182" s="18"/>
      <c r="EI182" s="18"/>
      <c r="EX182" s="27"/>
      <c r="EY182" s="18"/>
      <c r="EZ182" s="20"/>
      <c r="FA182" s="18"/>
    </row>
    <row r="183" spans="46:157" x14ac:dyDescent="0.3">
      <c r="AT183" s="44" t="str">
        <f t="shared" si="117"/>
        <v>14_22B.L8.S</v>
      </c>
      <c r="AU183" s="18" t="s">
        <v>68</v>
      </c>
      <c r="AV183" s="18" t="s">
        <v>346</v>
      </c>
      <c r="AW183" s="20" t="s">
        <v>377</v>
      </c>
      <c r="AX183" s="228">
        <v>1220115</v>
      </c>
      <c r="AY183" s="229">
        <v>94</v>
      </c>
      <c r="BA183" s="91"/>
      <c r="CK183" s="160"/>
      <c r="CL183" s="18"/>
      <c r="CM183" s="18"/>
      <c r="CN183" s="18"/>
      <c r="CO183" s="23"/>
      <c r="CP183" s="226"/>
      <c r="CQ183" s="163"/>
      <c r="CR183" s="166"/>
      <c r="CT183" s="163"/>
      <c r="CV183" s="7" t="s">
        <v>1190</v>
      </c>
      <c r="DC183" s="13"/>
      <c r="DJ183" s="232" t="s">
        <v>898</v>
      </c>
      <c r="DK183" s="234" t="s">
        <v>233</v>
      </c>
      <c r="DL183" s="234" t="s">
        <v>1147</v>
      </c>
      <c r="DM183" s="235">
        <v>44576</v>
      </c>
      <c r="DN183" s="236">
        <v>1944</v>
      </c>
      <c r="DO183" s="237">
        <v>874.8</v>
      </c>
      <c r="DP183" s="236">
        <v>1259</v>
      </c>
      <c r="EF183" s="19"/>
      <c r="EG183" s="18"/>
      <c r="EH183" s="18"/>
      <c r="EI183" s="18"/>
      <c r="EX183" s="27"/>
      <c r="EY183" s="18"/>
      <c r="EZ183" s="20"/>
      <c r="FA183" s="18"/>
    </row>
    <row r="184" spans="46:157" x14ac:dyDescent="0.3">
      <c r="AT184" s="44" t="str">
        <f t="shared" si="117"/>
        <v>14_24B.L8.S</v>
      </c>
      <c r="AU184" s="18" t="s">
        <v>68</v>
      </c>
      <c r="AV184" s="18" t="s">
        <v>428</v>
      </c>
      <c r="AW184" s="20" t="s">
        <v>377</v>
      </c>
      <c r="AX184" s="228">
        <v>1220115</v>
      </c>
      <c r="AY184" s="229">
        <v>94</v>
      </c>
      <c r="BA184" s="91"/>
      <c r="CK184" s="160"/>
      <c r="CL184" s="18"/>
      <c r="CM184" s="18"/>
      <c r="CN184" s="18"/>
      <c r="CO184" s="23"/>
      <c r="CP184" s="226"/>
      <c r="CQ184" s="163"/>
      <c r="CR184" s="166"/>
      <c r="CT184" s="163"/>
      <c r="CV184" s="7" t="s">
        <v>1191</v>
      </c>
      <c r="DC184" s="13"/>
      <c r="DJ184" s="232" t="s">
        <v>898</v>
      </c>
      <c r="DK184" s="234" t="s">
        <v>233</v>
      </c>
      <c r="DL184" s="234" t="s">
        <v>1148</v>
      </c>
      <c r="DM184" s="235">
        <v>44576</v>
      </c>
      <c r="DN184" s="236">
        <v>1944</v>
      </c>
      <c r="DO184" s="237">
        <v>826.2</v>
      </c>
      <c r="DP184" s="236">
        <v>1259</v>
      </c>
      <c r="EF184" s="19"/>
      <c r="EG184" s="18"/>
      <c r="EH184" s="18"/>
      <c r="EI184" s="18"/>
      <c r="EX184" s="27"/>
      <c r="EY184" s="18"/>
      <c r="EZ184" s="20"/>
      <c r="FA184" s="18"/>
    </row>
    <row r="185" spans="46:157" x14ac:dyDescent="0.3">
      <c r="AT185" s="44" t="str">
        <f t="shared" si="117"/>
        <v>14_26B.L8.S</v>
      </c>
      <c r="AU185" s="18" t="s">
        <v>68</v>
      </c>
      <c r="AV185" s="18" t="s">
        <v>512</v>
      </c>
      <c r="AW185" s="20" t="s">
        <v>377</v>
      </c>
      <c r="AX185" s="228">
        <v>1220115</v>
      </c>
      <c r="AY185" s="229">
        <v>94</v>
      </c>
      <c r="BA185" s="91"/>
      <c r="CK185" s="160"/>
      <c r="CL185" s="18"/>
      <c r="CM185" s="18"/>
      <c r="CN185" s="18"/>
      <c r="CO185" s="23"/>
      <c r="CP185" s="226"/>
      <c r="CQ185" s="163"/>
      <c r="CR185" s="164"/>
      <c r="CS185" s="23"/>
      <c r="CT185" s="163"/>
      <c r="CV185" s="7" t="s">
        <v>1192</v>
      </c>
      <c r="DC185" s="13"/>
      <c r="DJ185" s="232" t="s">
        <v>882</v>
      </c>
      <c r="DK185" s="234" t="s">
        <v>233</v>
      </c>
      <c r="DL185" s="234" t="s">
        <v>300</v>
      </c>
      <c r="DM185" s="235">
        <v>44576</v>
      </c>
      <c r="DN185" s="236">
        <v>1538</v>
      </c>
      <c r="DO185" s="237">
        <v>692.1</v>
      </c>
      <c r="DP185" s="236">
        <v>1000</v>
      </c>
      <c r="EF185" s="19"/>
      <c r="EG185" s="18"/>
      <c r="EH185" s="18"/>
      <c r="EI185" s="18"/>
      <c r="EX185" s="27"/>
      <c r="EY185" s="18"/>
      <c r="EZ185" s="20"/>
      <c r="FA185" s="18"/>
    </row>
    <row r="186" spans="46:157" x14ac:dyDescent="0.3">
      <c r="AT186" s="44" t="str">
        <f t="shared" si="117"/>
        <v>15_16F.L8.S</v>
      </c>
      <c r="AU186" s="18" t="s">
        <v>68</v>
      </c>
      <c r="AV186" s="18" t="s">
        <v>698</v>
      </c>
      <c r="AW186" s="20" t="s">
        <v>377</v>
      </c>
      <c r="AX186" s="228">
        <v>1220115</v>
      </c>
      <c r="AY186" s="229">
        <v>243</v>
      </c>
      <c r="BA186" s="91"/>
      <c r="CK186" s="160"/>
      <c r="CL186" s="18"/>
      <c r="CM186" s="18"/>
      <c r="CN186" s="18"/>
      <c r="CO186" s="23"/>
      <c r="CP186" s="226"/>
      <c r="CQ186" s="163"/>
      <c r="CR186" s="164"/>
      <c r="CS186" s="23"/>
      <c r="CT186" s="163"/>
      <c r="CV186" s="7"/>
      <c r="DC186" s="13"/>
      <c r="DJ186" s="232" t="s">
        <v>882</v>
      </c>
      <c r="DK186" s="234" t="s">
        <v>233</v>
      </c>
      <c r="DL186" s="234" t="s">
        <v>262</v>
      </c>
      <c r="DM186" s="235">
        <v>44576</v>
      </c>
      <c r="DN186" s="236">
        <v>1538</v>
      </c>
      <c r="DO186" s="237">
        <v>653.65</v>
      </c>
      <c r="DP186" s="236">
        <v>1000</v>
      </c>
      <c r="EF186" s="19"/>
      <c r="EG186" s="18"/>
      <c r="EH186" s="18"/>
      <c r="EI186" s="19"/>
      <c r="EX186" s="27"/>
      <c r="EY186" s="18"/>
      <c r="EZ186" s="20"/>
      <c r="FA186" s="18"/>
    </row>
    <row r="187" spans="46:157" x14ac:dyDescent="0.3">
      <c r="AT187" s="44" t="str">
        <f t="shared" si="117"/>
        <v>16_16F.L8.S</v>
      </c>
      <c r="AU187" s="18" t="s">
        <v>68</v>
      </c>
      <c r="AV187" s="18" t="s">
        <v>714</v>
      </c>
      <c r="AW187" s="20" t="s">
        <v>377</v>
      </c>
      <c r="AX187" s="228">
        <v>1220115</v>
      </c>
      <c r="AY187" s="229">
        <v>243</v>
      </c>
      <c r="BA187" s="91"/>
      <c r="CK187" s="160"/>
      <c r="CL187" s="18"/>
      <c r="CM187" s="18"/>
      <c r="CN187" s="18"/>
      <c r="CO187" s="23"/>
      <c r="CP187" s="226"/>
      <c r="CQ187" s="163"/>
      <c r="CR187" s="162"/>
      <c r="CS187" s="23"/>
      <c r="CT187" s="163"/>
      <c r="CV187" s="7" t="s">
        <v>1193</v>
      </c>
      <c r="DC187" s="13"/>
      <c r="DJ187" s="232" t="s">
        <v>882</v>
      </c>
      <c r="DK187" s="234" t="s">
        <v>233</v>
      </c>
      <c r="DL187" s="234" t="s">
        <v>1146</v>
      </c>
      <c r="DM187" s="235">
        <v>44576</v>
      </c>
      <c r="DN187" s="236">
        <v>1538</v>
      </c>
      <c r="DO187" s="237">
        <v>1000</v>
      </c>
      <c r="DP187" s="236">
        <v>1000</v>
      </c>
      <c r="EF187" s="19"/>
      <c r="EG187" s="18"/>
      <c r="EH187" s="18"/>
      <c r="EI187" s="18"/>
      <c r="EX187" s="27"/>
      <c r="EY187" s="18"/>
      <c r="EZ187" s="20"/>
      <c r="FA187" s="18"/>
    </row>
    <row r="188" spans="46:157" x14ac:dyDescent="0.3">
      <c r="AT188" s="44" t="str">
        <f t="shared" si="117"/>
        <v>16_16T.L8.S</v>
      </c>
      <c r="AU188" s="18" t="s">
        <v>68</v>
      </c>
      <c r="AV188" s="18" t="s">
        <v>985</v>
      </c>
      <c r="AW188" s="20" t="s">
        <v>377</v>
      </c>
      <c r="AX188" s="228">
        <v>1220115</v>
      </c>
      <c r="AY188" s="229">
        <v>243</v>
      </c>
      <c r="BA188" s="91"/>
      <c r="CK188" s="160"/>
      <c r="CL188" s="18"/>
      <c r="CM188" s="18"/>
      <c r="CN188" s="18"/>
      <c r="CO188" s="23"/>
      <c r="CP188" s="226"/>
      <c r="CQ188" s="163"/>
      <c r="CR188" s="164"/>
      <c r="CS188" s="23"/>
      <c r="CT188" s="163"/>
      <c r="CV188" s="7" t="s">
        <v>1194</v>
      </c>
      <c r="DC188" s="13"/>
      <c r="DJ188" s="232" t="s">
        <v>882</v>
      </c>
      <c r="DK188" s="234" t="s">
        <v>233</v>
      </c>
      <c r="DL188" s="234" t="s">
        <v>1149</v>
      </c>
      <c r="DM188" s="235">
        <v>44576</v>
      </c>
      <c r="DN188" s="236">
        <v>1538</v>
      </c>
      <c r="DO188" s="237">
        <v>653.65</v>
      </c>
      <c r="DP188" s="236">
        <v>1000</v>
      </c>
      <c r="EF188" s="19"/>
      <c r="EG188" s="18"/>
      <c r="EH188" s="18"/>
      <c r="EI188" s="18"/>
      <c r="EX188" s="27"/>
      <c r="EY188" s="18"/>
      <c r="EZ188" s="20"/>
      <c r="FA188" s="18"/>
    </row>
    <row r="189" spans="46:157" x14ac:dyDescent="0.3">
      <c r="AT189" s="44" t="str">
        <f t="shared" si="117"/>
        <v>16_18B.L8.S</v>
      </c>
      <c r="AU189" s="18" t="s">
        <v>68</v>
      </c>
      <c r="AV189" s="18" t="s">
        <v>186</v>
      </c>
      <c r="AW189" s="20" t="s">
        <v>377</v>
      </c>
      <c r="AX189" s="228">
        <v>1220115</v>
      </c>
      <c r="AY189" s="229">
        <v>186</v>
      </c>
      <c r="BA189" s="91"/>
      <c r="CK189" s="160"/>
      <c r="CL189" s="18"/>
      <c r="CM189" s="18"/>
      <c r="CN189" s="18"/>
      <c r="CO189" s="23"/>
      <c r="CP189" s="226"/>
      <c r="CQ189" s="163"/>
      <c r="CR189" s="47"/>
      <c r="CS189" s="23"/>
      <c r="CT189" s="163"/>
      <c r="DJ189" s="232" t="s">
        <v>882</v>
      </c>
      <c r="DK189" s="234" t="s">
        <v>233</v>
      </c>
      <c r="DL189" s="234" t="s">
        <v>1147</v>
      </c>
      <c r="DM189" s="235">
        <v>44576</v>
      </c>
      <c r="DN189" s="236">
        <v>1538</v>
      </c>
      <c r="DO189" s="237">
        <v>692.1</v>
      </c>
      <c r="DP189" s="236">
        <v>1000</v>
      </c>
      <c r="EF189" s="19"/>
      <c r="EG189" s="18"/>
      <c r="EH189" s="18"/>
      <c r="EI189" s="18"/>
      <c r="EX189" s="27"/>
      <c r="EY189" s="18"/>
      <c r="EZ189" s="20"/>
      <c r="FA189" s="18"/>
    </row>
    <row r="190" spans="46:157" x14ac:dyDescent="0.3">
      <c r="AT190" s="44" t="str">
        <f t="shared" si="117"/>
        <v>16_18F.L8.S</v>
      </c>
      <c r="AU190" s="18" t="s">
        <v>68</v>
      </c>
      <c r="AV190" s="18" t="s">
        <v>726</v>
      </c>
      <c r="AW190" s="20" t="s">
        <v>377</v>
      </c>
      <c r="AX190" s="228">
        <v>1220115</v>
      </c>
      <c r="AY190" s="229">
        <v>186</v>
      </c>
      <c r="BA190" s="91"/>
      <c r="CK190" s="160"/>
      <c r="CL190" s="18"/>
      <c r="CM190" s="18"/>
      <c r="CN190" s="18"/>
      <c r="CO190" s="23"/>
      <c r="CP190" s="226"/>
      <c r="CQ190" s="163"/>
      <c r="CR190" s="164"/>
      <c r="CS190" s="23"/>
      <c r="CT190" s="163"/>
      <c r="DJ190" s="232" t="s">
        <v>882</v>
      </c>
      <c r="DK190" s="234" t="s">
        <v>233</v>
      </c>
      <c r="DL190" s="234" t="s">
        <v>1148</v>
      </c>
      <c r="DM190" s="235">
        <v>44576</v>
      </c>
      <c r="DN190" s="236">
        <v>1538</v>
      </c>
      <c r="DO190" s="237">
        <v>653.65</v>
      </c>
      <c r="DP190" s="236">
        <v>1000</v>
      </c>
      <c r="EF190" s="19"/>
      <c r="EG190" s="18"/>
      <c r="EH190" s="18"/>
      <c r="EI190" s="18"/>
      <c r="EX190" s="27"/>
      <c r="EY190" s="18"/>
      <c r="EZ190" s="20"/>
      <c r="FA190" s="18"/>
    </row>
    <row r="191" spans="46:157" x14ac:dyDescent="0.3">
      <c r="AT191" s="44" t="str">
        <f t="shared" si="117"/>
        <v>16_18T.L8.S</v>
      </c>
      <c r="AU191" s="18" t="s">
        <v>68</v>
      </c>
      <c r="AV191" s="18" t="s">
        <v>1174</v>
      </c>
      <c r="AW191" s="20" t="s">
        <v>377</v>
      </c>
      <c r="AX191" s="228">
        <v>1220115</v>
      </c>
      <c r="AY191" s="229">
        <v>186</v>
      </c>
      <c r="BA191" s="91"/>
      <c r="CK191" s="160"/>
      <c r="CL191" s="18"/>
      <c r="CM191" s="18"/>
      <c r="CN191" s="18"/>
      <c r="CO191" s="23"/>
      <c r="CP191" s="226"/>
      <c r="CQ191" s="163"/>
      <c r="CR191" s="164"/>
      <c r="CS191" s="23"/>
      <c r="CT191" s="163"/>
      <c r="DJ191" s="232" t="s">
        <v>908</v>
      </c>
      <c r="DK191" s="234" t="s">
        <v>233</v>
      </c>
      <c r="DL191" s="234" t="s">
        <v>300</v>
      </c>
      <c r="DM191" s="235">
        <v>44576</v>
      </c>
      <c r="DN191" s="236">
        <v>760</v>
      </c>
      <c r="DO191" s="237">
        <v>342</v>
      </c>
      <c r="DP191" s="236">
        <v>494</v>
      </c>
      <c r="EF191" s="19"/>
      <c r="EG191" s="18"/>
      <c r="EH191" s="18"/>
      <c r="EI191" s="19"/>
      <c r="EX191" s="27"/>
      <c r="EY191" s="18"/>
      <c r="EZ191" s="20"/>
      <c r="FA191" s="18"/>
    </row>
    <row r="192" spans="46:157" x14ac:dyDescent="0.3">
      <c r="AT192" s="44" t="str">
        <f t="shared" si="117"/>
        <v>16_20B.L8.S</v>
      </c>
      <c r="AU192" s="18" t="s">
        <v>68</v>
      </c>
      <c r="AV192" s="18" t="s">
        <v>293</v>
      </c>
      <c r="AW192" s="20" t="s">
        <v>377</v>
      </c>
      <c r="AX192" s="228">
        <v>1220115</v>
      </c>
      <c r="AY192" s="229">
        <v>189</v>
      </c>
      <c r="BA192" s="91"/>
      <c r="CK192" s="160"/>
      <c r="CL192" s="18"/>
      <c r="CM192" s="18"/>
      <c r="CN192" s="18"/>
      <c r="CO192" s="23"/>
      <c r="CP192" s="226"/>
      <c r="CQ192" s="163"/>
      <c r="CR192" s="156"/>
      <c r="CT192" s="163"/>
      <c r="DJ192" s="232" t="s">
        <v>908</v>
      </c>
      <c r="DK192" s="234" t="s">
        <v>233</v>
      </c>
      <c r="DL192" s="234" t="s">
        <v>262</v>
      </c>
      <c r="DM192" s="235">
        <v>44576</v>
      </c>
      <c r="DN192" s="236">
        <v>760</v>
      </c>
      <c r="DO192" s="237">
        <v>323</v>
      </c>
      <c r="DP192" s="236">
        <v>494</v>
      </c>
      <c r="EF192" s="19"/>
      <c r="EG192" s="18"/>
      <c r="EH192" s="18"/>
      <c r="EI192" s="18"/>
      <c r="EX192" s="27"/>
      <c r="EY192" s="18"/>
      <c r="EZ192" s="20"/>
      <c r="FA192" s="18"/>
    </row>
    <row r="193" spans="46:157" x14ac:dyDescent="0.3">
      <c r="AT193" s="44" t="str">
        <f t="shared" si="117"/>
        <v>16_22B.L8.S</v>
      </c>
      <c r="AU193" s="18" t="s">
        <v>68</v>
      </c>
      <c r="AV193" s="18" t="s">
        <v>365</v>
      </c>
      <c r="AW193" s="20" t="s">
        <v>377</v>
      </c>
      <c r="AX193" s="228">
        <v>1220115</v>
      </c>
      <c r="AY193" s="229">
        <v>94</v>
      </c>
      <c r="BA193" s="91"/>
      <c r="CK193" s="160"/>
      <c r="CL193" s="18"/>
      <c r="CM193" s="18"/>
      <c r="CN193" s="18"/>
      <c r="CO193" s="23"/>
      <c r="CP193" s="226"/>
      <c r="CQ193" s="163"/>
      <c r="CR193" s="55"/>
      <c r="CS193" s="23"/>
      <c r="CT193" s="163"/>
      <c r="DJ193" s="232" t="s">
        <v>908</v>
      </c>
      <c r="DK193" s="234" t="s">
        <v>233</v>
      </c>
      <c r="DL193" s="234" t="s">
        <v>1146</v>
      </c>
      <c r="DM193" s="235">
        <v>44576</v>
      </c>
      <c r="DN193" s="236">
        <v>760</v>
      </c>
      <c r="DO193" s="237">
        <v>494</v>
      </c>
      <c r="DP193" s="236">
        <v>494</v>
      </c>
      <c r="EF193" s="19"/>
      <c r="EG193" s="18"/>
      <c r="EH193" s="18"/>
      <c r="EI193" s="18"/>
      <c r="EX193" s="27"/>
      <c r="EY193" s="18"/>
      <c r="EZ193" s="20"/>
      <c r="FA193" s="18"/>
    </row>
    <row r="194" spans="46:157" x14ac:dyDescent="0.3">
      <c r="AT194" s="44" t="str">
        <f t="shared" si="117"/>
        <v>16_24B.L8.S</v>
      </c>
      <c r="AU194" s="18" t="s">
        <v>68</v>
      </c>
      <c r="AV194" s="18" t="s">
        <v>444</v>
      </c>
      <c r="AW194" s="20" t="s">
        <v>377</v>
      </c>
      <c r="AX194" s="228">
        <v>1220115</v>
      </c>
      <c r="AY194" s="229">
        <v>94</v>
      </c>
      <c r="BA194" s="91"/>
      <c r="CK194" s="160"/>
      <c r="CL194" s="18"/>
      <c r="CM194" s="18"/>
      <c r="CN194" s="18"/>
      <c r="CO194" s="23"/>
      <c r="CP194" s="226"/>
      <c r="CQ194" s="163"/>
      <c r="CR194" s="55"/>
      <c r="CS194" s="23"/>
      <c r="CT194" s="163"/>
      <c r="DJ194" s="232" t="s">
        <v>908</v>
      </c>
      <c r="DK194" s="234" t="s">
        <v>233</v>
      </c>
      <c r="DL194" s="234" t="s">
        <v>1149</v>
      </c>
      <c r="DM194" s="235">
        <v>44576</v>
      </c>
      <c r="DN194" s="236">
        <v>760</v>
      </c>
      <c r="DO194" s="237">
        <v>323</v>
      </c>
      <c r="DP194" s="236">
        <v>494</v>
      </c>
      <c r="EF194" s="19"/>
      <c r="EG194" s="18"/>
      <c r="EH194" s="18"/>
      <c r="EI194" s="18"/>
      <c r="EX194" s="27"/>
      <c r="EY194" s="18"/>
      <c r="EZ194" s="20"/>
      <c r="FA194" s="18"/>
    </row>
    <row r="195" spans="46:157" x14ac:dyDescent="0.3">
      <c r="AT195" s="44" t="str">
        <f t="shared" si="117"/>
        <v>16_26B.L8.S</v>
      </c>
      <c r="AU195" s="18" t="s">
        <v>68</v>
      </c>
      <c r="AV195" s="18" t="s">
        <v>532</v>
      </c>
      <c r="AW195" s="20" t="s">
        <v>377</v>
      </c>
      <c r="AX195" s="228">
        <v>1220115</v>
      </c>
      <c r="AY195" s="229">
        <v>94</v>
      </c>
      <c r="BA195" s="91"/>
      <c r="CK195" s="160"/>
      <c r="CL195" s="18"/>
      <c r="CM195" s="18"/>
      <c r="CN195" s="18"/>
      <c r="CO195" s="23"/>
      <c r="CP195" s="226"/>
      <c r="CQ195" s="163"/>
      <c r="CR195" s="55"/>
      <c r="CS195" s="23"/>
      <c r="CT195" s="163"/>
      <c r="DJ195" s="232" t="s">
        <v>908</v>
      </c>
      <c r="DK195" s="234" t="s">
        <v>233</v>
      </c>
      <c r="DL195" s="234" t="s">
        <v>1147</v>
      </c>
      <c r="DM195" s="235">
        <v>44576</v>
      </c>
      <c r="DN195" s="236">
        <v>760</v>
      </c>
      <c r="DO195" s="237">
        <v>342</v>
      </c>
      <c r="DP195" s="236">
        <v>494</v>
      </c>
      <c r="EF195" s="19"/>
      <c r="EG195" s="18"/>
      <c r="EH195" s="18"/>
      <c r="EI195" s="18"/>
      <c r="EX195" s="27"/>
      <c r="EY195" s="18"/>
      <c r="EZ195" s="20"/>
      <c r="FA195" s="18"/>
    </row>
    <row r="196" spans="46:157" x14ac:dyDescent="0.3">
      <c r="AT196" s="44" t="str">
        <f t="shared" si="117"/>
        <v>18_20B.L8.S</v>
      </c>
      <c r="AU196" s="18" t="s">
        <v>68</v>
      </c>
      <c r="AV196" s="18" t="s">
        <v>312</v>
      </c>
      <c r="AW196" s="20" t="s">
        <v>377</v>
      </c>
      <c r="AX196" s="228">
        <v>1220115</v>
      </c>
      <c r="AY196" s="229">
        <v>189</v>
      </c>
      <c r="BA196" s="91"/>
      <c r="CK196" s="160"/>
      <c r="CL196" s="18"/>
      <c r="CM196" s="18"/>
      <c r="CN196" s="18"/>
      <c r="CO196" s="23"/>
      <c r="CP196" s="226"/>
      <c r="CQ196" s="163"/>
      <c r="CR196" s="47"/>
      <c r="CS196" s="23"/>
      <c r="CT196" s="163"/>
      <c r="DJ196" s="232" t="s">
        <v>908</v>
      </c>
      <c r="DK196" s="234" t="s">
        <v>233</v>
      </c>
      <c r="DL196" s="234" t="s">
        <v>1148</v>
      </c>
      <c r="DM196" s="235">
        <v>44576</v>
      </c>
      <c r="DN196" s="236">
        <v>760</v>
      </c>
      <c r="DO196" s="237">
        <v>323</v>
      </c>
      <c r="DP196" s="236">
        <v>494</v>
      </c>
      <c r="EF196" s="19"/>
      <c r="EG196" s="18"/>
      <c r="EH196" s="18"/>
      <c r="EI196" s="18"/>
      <c r="EX196" s="27"/>
      <c r="EY196" s="18"/>
      <c r="EZ196" s="20"/>
      <c r="FA196" s="18"/>
    </row>
    <row r="197" spans="46:157" x14ac:dyDescent="0.3">
      <c r="AT197" s="44" t="str">
        <f t="shared" si="117"/>
        <v>18_22B.L8.S</v>
      </c>
      <c r="AU197" s="18" t="s">
        <v>68</v>
      </c>
      <c r="AV197" s="18" t="s">
        <v>382</v>
      </c>
      <c r="AW197" s="20" t="s">
        <v>377</v>
      </c>
      <c r="AX197" s="228">
        <v>1220115</v>
      </c>
      <c r="AY197" s="229">
        <v>94</v>
      </c>
      <c r="BA197" s="91"/>
      <c r="CK197" s="160"/>
      <c r="CL197" s="18"/>
      <c r="CM197" s="18"/>
      <c r="CN197" s="18"/>
      <c r="CO197" s="23"/>
      <c r="CP197" s="226"/>
      <c r="CQ197" s="163"/>
      <c r="CR197" s="47"/>
      <c r="CS197" s="23"/>
      <c r="CT197" s="163"/>
      <c r="DJ197" s="232" t="s">
        <v>921</v>
      </c>
      <c r="DK197" s="234" t="s">
        <v>233</v>
      </c>
      <c r="DL197" s="234" t="s">
        <v>300</v>
      </c>
      <c r="DM197" s="235">
        <v>44576</v>
      </c>
      <c r="DN197" s="236">
        <v>737</v>
      </c>
      <c r="DO197" s="237">
        <v>331.65</v>
      </c>
      <c r="DP197" s="236">
        <v>479</v>
      </c>
      <c r="EF197" s="19"/>
      <c r="EG197" s="18"/>
      <c r="EH197" s="18"/>
      <c r="EI197" s="18"/>
      <c r="EX197" s="27"/>
      <c r="EY197" s="18"/>
      <c r="EZ197" s="20"/>
      <c r="FA197" s="18"/>
    </row>
    <row r="198" spans="46:157" x14ac:dyDescent="0.3">
      <c r="AT198" s="44" t="str">
        <f t="shared" si="117"/>
        <v>18_24B.L8.S</v>
      </c>
      <c r="AU198" s="18" t="s">
        <v>68</v>
      </c>
      <c r="AV198" s="18" t="s">
        <v>461</v>
      </c>
      <c r="AW198" s="20" t="s">
        <v>377</v>
      </c>
      <c r="AX198" s="228">
        <v>1220115</v>
      </c>
      <c r="AY198" s="229">
        <v>94</v>
      </c>
      <c r="BA198" s="91"/>
      <c r="CK198" s="160"/>
      <c r="CL198" s="18"/>
      <c r="CM198" s="18"/>
      <c r="CN198" s="18"/>
      <c r="CO198" s="23"/>
      <c r="CP198" s="226"/>
      <c r="CQ198" s="163"/>
      <c r="CR198" s="156"/>
      <c r="CT198" s="163"/>
      <c r="DJ198" s="232" t="s">
        <v>921</v>
      </c>
      <c r="DK198" s="234" t="s">
        <v>233</v>
      </c>
      <c r="DL198" s="234" t="s">
        <v>262</v>
      </c>
      <c r="DM198" s="235">
        <v>44576</v>
      </c>
      <c r="DN198" s="236">
        <v>737</v>
      </c>
      <c r="DO198" s="237">
        <v>313.23</v>
      </c>
      <c r="DP198" s="236">
        <v>479</v>
      </c>
      <c r="EF198" s="19"/>
      <c r="EG198" s="18"/>
      <c r="EH198" s="18"/>
      <c r="EI198" s="18"/>
      <c r="EX198" s="27"/>
      <c r="EY198" s="18"/>
      <c r="EZ198" s="20"/>
      <c r="FA198" s="18"/>
    </row>
    <row r="199" spans="46:157" x14ac:dyDescent="0.3">
      <c r="AT199" s="44" t="str">
        <f t="shared" si="117"/>
        <v>20_22B.L8.S</v>
      </c>
      <c r="AU199" s="18" t="s">
        <v>68</v>
      </c>
      <c r="AV199" s="18" t="s">
        <v>400</v>
      </c>
      <c r="AW199" s="20" t="s">
        <v>377</v>
      </c>
      <c r="AX199" s="228">
        <v>1220115</v>
      </c>
      <c r="AY199" s="229">
        <v>94</v>
      </c>
      <c r="BA199" s="91"/>
      <c r="CK199" s="160"/>
      <c r="CL199" s="18"/>
      <c r="CM199" s="18"/>
      <c r="CN199" s="18"/>
      <c r="CO199" s="23"/>
      <c r="CP199" s="226"/>
      <c r="CQ199" s="163"/>
      <c r="CT199" s="163"/>
      <c r="DJ199" s="232" t="s">
        <v>921</v>
      </c>
      <c r="DK199" s="234" t="s">
        <v>233</v>
      </c>
      <c r="DL199" s="234" t="s">
        <v>1146</v>
      </c>
      <c r="DM199" s="235">
        <v>44576</v>
      </c>
      <c r="DN199" s="236">
        <v>737</v>
      </c>
      <c r="DO199" s="237">
        <v>479</v>
      </c>
      <c r="DP199" s="236">
        <v>479</v>
      </c>
      <c r="EF199" s="19"/>
      <c r="EG199" s="18"/>
      <c r="EH199" s="18"/>
      <c r="EI199" s="20"/>
      <c r="EX199" s="27"/>
      <c r="EY199" s="18"/>
      <c r="EZ199" s="20"/>
      <c r="FA199" s="18"/>
    </row>
    <row r="200" spans="46:157" x14ac:dyDescent="0.3">
      <c r="AT200" s="44" t="str">
        <f t="shared" si="117"/>
        <v>20_24B.L8.S</v>
      </c>
      <c r="AU200" s="18" t="s">
        <v>68</v>
      </c>
      <c r="AV200" s="18" t="s">
        <v>479</v>
      </c>
      <c r="AW200" s="20" t="s">
        <v>377</v>
      </c>
      <c r="AX200" s="228">
        <v>1220115</v>
      </c>
      <c r="AY200" s="229">
        <v>94</v>
      </c>
      <c r="BA200" s="91"/>
      <c r="CK200" s="160"/>
      <c r="CL200" s="18"/>
      <c r="CM200" s="18"/>
      <c r="CN200" s="18"/>
      <c r="CO200" s="23"/>
      <c r="CP200" s="226"/>
      <c r="CQ200" s="163"/>
      <c r="CS200" s="23"/>
      <c r="CT200" s="163"/>
      <c r="DJ200" s="232" t="s">
        <v>921</v>
      </c>
      <c r="DK200" s="234" t="s">
        <v>233</v>
      </c>
      <c r="DL200" s="234" t="s">
        <v>1149</v>
      </c>
      <c r="DM200" s="235">
        <v>44576</v>
      </c>
      <c r="DN200" s="236">
        <v>737</v>
      </c>
      <c r="DO200" s="237">
        <v>313.23</v>
      </c>
      <c r="DP200" s="236">
        <v>479</v>
      </c>
      <c r="EF200" s="19"/>
      <c r="EG200" s="18"/>
      <c r="EH200" s="18"/>
      <c r="EI200" s="18"/>
      <c r="EX200" s="27"/>
      <c r="EY200" s="18"/>
      <c r="EZ200" s="20"/>
      <c r="FA200" s="18"/>
    </row>
    <row r="201" spans="46:157" x14ac:dyDescent="0.3">
      <c r="AT201" s="44" t="str">
        <f t="shared" si="117"/>
        <v>3H_13S.L8.S</v>
      </c>
      <c r="AU201" s="18" t="s">
        <v>68</v>
      </c>
      <c r="AV201" s="18" t="s">
        <v>1001</v>
      </c>
      <c r="AW201" s="20" t="s">
        <v>377</v>
      </c>
      <c r="AX201" s="228">
        <v>1220115</v>
      </c>
      <c r="AY201" s="229">
        <v>256</v>
      </c>
      <c r="BA201" s="91"/>
      <c r="CK201" s="160"/>
      <c r="CL201" s="18"/>
      <c r="CM201" s="18"/>
      <c r="CN201" s="18"/>
      <c r="CO201" s="23"/>
      <c r="CP201" s="226"/>
      <c r="CQ201" s="163"/>
      <c r="CS201" s="23"/>
      <c r="CT201" s="163"/>
      <c r="DJ201" s="232" t="s">
        <v>921</v>
      </c>
      <c r="DK201" s="234" t="s">
        <v>233</v>
      </c>
      <c r="DL201" s="234" t="s">
        <v>1147</v>
      </c>
      <c r="DM201" s="235">
        <v>44576</v>
      </c>
      <c r="DN201" s="236">
        <v>737</v>
      </c>
      <c r="DO201" s="237">
        <v>331.65</v>
      </c>
      <c r="DP201" s="236">
        <v>479</v>
      </c>
      <c r="EF201" s="19"/>
      <c r="EG201" s="18"/>
      <c r="EH201" s="18"/>
      <c r="EI201" s="18"/>
      <c r="EX201" s="27"/>
      <c r="EY201" s="18"/>
      <c r="EZ201" s="20"/>
      <c r="FA201" s="18"/>
    </row>
    <row r="202" spans="46:157" x14ac:dyDescent="0.3">
      <c r="AT202" s="44" t="str">
        <f t="shared" si="117"/>
        <v>4_14S.L8.S</v>
      </c>
      <c r="AU202" s="18" t="s">
        <v>68</v>
      </c>
      <c r="AV202" s="18" t="s">
        <v>1017</v>
      </c>
      <c r="AW202" s="20" t="s">
        <v>377</v>
      </c>
      <c r="AX202" s="228">
        <v>1220115</v>
      </c>
      <c r="AY202" s="229">
        <v>223</v>
      </c>
      <c r="BA202" s="91"/>
      <c r="CK202" s="160"/>
      <c r="CL202" s="18"/>
      <c r="CM202" s="18"/>
      <c r="CN202" s="18"/>
      <c r="CO202" s="23"/>
      <c r="CP202" s="226"/>
      <c r="CQ202" s="163"/>
      <c r="CS202" s="23"/>
      <c r="CT202" s="163"/>
      <c r="DJ202" s="232" t="s">
        <v>921</v>
      </c>
      <c r="DK202" s="234" t="s">
        <v>233</v>
      </c>
      <c r="DL202" s="234" t="s">
        <v>1148</v>
      </c>
      <c r="DM202" s="235">
        <v>44576</v>
      </c>
      <c r="DN202" s="236">
        <v>737</v>
      </c>
      <c r="DO202" s="237">
        <v>313.23</v>
      </c>
      <c r="DP202" s="236">
        <v>479</v>
      </c>
      <c r="EF202" s="19"/>
      <c r="EG202" s="18"/>
      <c r="EH202" s="18"/>
      <c r="EI202" s="20"/>
      <c r="EX202" s="27"/>
      <c r="EY202" s="18"/>
      <c r="EZ202" s="20"/>
      <c r="FA202" s="18"/>
    </row>
    <row r="203" spans="46:157" x14ac:dyDescent="0.3">
      <c r="AT203" s="44" t="str">
        <f t="shared" si="117"/>
        <v>4_14x8S.L8.S</v>
      </c>
      <c r="AU203" s="18" t="s">
        <v>68</v>
      </c>
      <c r="AV203" s="18" t="s">
        <v>1049</v>
      </c>
      <c r="AW203" s="20" t="s">
        <v>377</v>
      </c>
      <c r="AX203" s="228">
        <v>1220115</v>
      </c>
      <c r="AY203" s="229">
        <v>223</v>
      </c>
      <c r="BA203" s="91"/>
      <c r="CK203" s="160"/>
      <c r="CL203" s="18"/>
      <c r="CM203" s="18"/>
      <c r="CN203" s="18"/>
      <c r="CO203" s="23"/>
      <c r="CP203" s="226"/>
      <c r="CQ203" s="163"/>
      <c r="CR203" s="55"/>
      <c r="CS203" s="23"/>
      <c r="CT203" s="163"/>
      <c r="DJ203" s="232" t="s">
        <v>895</v>
      </c>
      <c r="DK203" s="234" t="s">
        <v>233</v>
      </c>
      <c r="DL203" s="234" t="s">
        <v>300</v>
      </c>
      <c r="DM203" s="235">
        <v>44576</v>
      </c>
      <c r="DN203" s="236">
        <v>658</v>
      </c>
      <c r="DO203" s="237">
        <v>296.10000000000002</v>
      </c>
      <c r="DP203" s="236">
        <v>428</v>
      </c>
      <c r="EF203" s="19"/>
      <c r="EG203" s="18"/>
      <c r="EH203" s="18"/>
      <c r="EI203" s="18"/>
      <c r="EX203" s="27"/>
      <c r="EY203" s="18"/>
      <c r="EZ203" s="20"/>
      <c r="FA203" s="18"/>
    </row>
    <row r="204" spans="46:157" x14ac:dyDescent="0.3">
      <c r="AT204" s="44" t="str">
        <f t="shared" si="117"/>
        <v>5_14S.L8.S</v>
      </c>
      <c r="AU204" s="18" t="s">
        <v>68</v>
      </c>
      <c r="AV204" s="18" t="s">
        <v>1026</v>
      </c>
      <c r="AW204" s="20" t="s">
        <v>377</v>
      </c>
      <c r="AX204" s="228">
        <v>1220115</v>
      </c>
      <c r="AY204" s="229">
        <v>75</v>
      </c>
      <c r="BA204" s="91"/>
      <c r="CK204" s="160"/>
      <c r="CL204" s="18"/>
      <c r="CM204" s="18"/>
      <c r="CN204" s="18"/>
      <c r="CO204" s="23"/>
      <c r="CP204" s="226"/>
      <c r="CQ204" s="163"/>
      <c r="CS204" s="23"/>
      <c r="CT204" s="163"/>
      <c r="DJ204" s="232" t="s">
        <v>895</v>
      </c>
      <c r="DK204" s="234" t="s">
        <v>233</v>
      </c>
      <c r="DL204" s="234" t="s">
        <v>262</v>
      </c>
      <c r="DM204" s="235">
        <v>44576</v>
      </c>
      <c r="DN204" s="236">
        <v>658</v>
      </c>
      <c r="DO204" s="237">
        <v>279.64999999999998</v>
      </c>
      <c r="DP204" s="236">
        <v>428</v>
      </c>
      <c r="EF204" s="21"/>
      <c r="EG204" s="18"/>
      <c r="EH204" s="18"/>
      <c r="EI204" s="18"/>
      <c r="EX204" s="27"/>
      <c r="EY204" s="18"/>
      <c r="EZ204" s="20"/>
      <c r="FA204" s="18"/>
    </row>
    <row r="205" spans="46:157" x14ac:dyDescent="0.3">
      <c r="AT205" s="44" t="str">
        <f t="shared" si="117"/>
        <v>5_14x8S.L8.S</v>
      </c>
      <c r="AU205" s="18" t="s">
        <v>68</v>
      </c>
      <c r="AV205" s="18" t="s">
        <v>1059</v>
      </c>
      <c r="AW205" s="20" t="s">
        <v>377</v>
      </c>
      <c r="AX205" s="228">
        <v>1220115</v>
      </c>
      <c r="AY205" s="229">
        <v>75</v>
      </c>
      <c r="BA205" s="91"/>
      <c r="CK205" s="160"/>
      <c r="CL205" s="18"/>
      <c r="CM205" s="18"/>
      <c r="CN205" s="18"/>
      <c r="CO205" s="23"/>
      <c r="CP205" s="226"/>
      <c r="CQ205" s="163"/>
      <c r="CS205" s="23"/>
      <c r="CT205" s="163"/>
      <c r="DJ205" s="232" t="s">
        <v>895</v>
      </c>
      <c r="DK205" s="234" t="s">
        <v>233</v>
      </c>
      <c r="DL205" s="234" t="s">
        <v>1146</v>
      </c>
      <c r="DM205" s="235">
        <v>44576</v>
      </c>
      <c r="DN205" s="236">
        <v>658</v>
      </c>
      <c r="DO205" s="237">
        <v>428</v>
      </c>
      <c r="DP205" s="236">
        <v>428</v>
      </c>
      <c r="EF205" s="19"/>
      <c r="EG205" s="18"/>
      <c r="EH205" s="18"/>
      <c r="EI205" s="18"/>
      <c r="EX205" s="27"/>
      <c r="EY205" s="18"/>
      <c r="EZ205" s="20"/>
      <c r="FA205" s="18"/>
    </row>
    <row r="206" spans="46:157" x14ac:dyDescent="0.3">
      <c r="AT206" s="44" t="str">
        <f t="shared" si="117"/>
        <v>5H_14x8S.L8.S</v>
      </c>
      <c r="AU206" s="18" t="s">
        <v>68</v>
      </c>
      <c r="AV206" s="18" t="s">
        <v>1067</v>
      </c>
      <c r="AW206" s="20" t="s">
        <v>377</v>
      </c>
      <c r="AX206" s="228">
        <v>1220115</v>
      </c>
      <c r="AY206" s="229">
        <v>196</v>
      </c>
      <c r="BA206" s="91"/>
      <c r="CK206" s="160"/>
      <c r="CL206" s="18"/>
      <c r="CM206" s="18"/>
      <c r="CN206" s="18"/>
      <c r="CO206" s="23"/>
      <c r="CP206" s="226"/>
      <c r="CQ206" s="163"/>
      <c r="CS206" s="23"/>
      <c r="CT206" s="163"/>
      <c r="DJ206" s="232" t="s">
        <v>895</v>
      </c>
      <c r="DK206" s="234" t="s">
        <v>233</v>
      </c>
      <c r="DL206" s="234" t="s">
        <v>1149</v>
      </c>
      <c r="DM206" s="235">
        <v>44576</v>
      </c>
      <c r="DN206" s="236">
        <v>658</v>
      </c>
      <c r="DO206" s="237">
        <v>279.64999999999998</v>
      </c>
      <c r="DP206" s="236">
        <v>428</v>
      </c>
      <c r="EF206" s="19"/>
      <c r="EG206" s="18"/>
      <c r="EH206" s="18"/>
      <c r="EI206" s="20"/>
      <c r="EX206" s="27"/>
      <c r="EY206" s="18"/>
      <c r="EZ206" s="20"/>
      <c r="FA206" s="18"/>
    </row>
    <row r="207" spans="46:157" x14ac:dyDescent="0.3">
      <c r="AT207" s="44" t="str">
        <f t="shared" si="117"/>
        <v>6_12S.L8.S</v>
      </c>
      <c r="AU207" s="18" t="s">
        <v>68</v>
      </c>
      <c r="AV207" s="18" t="s">
        <v>995</v>
      </c>
      <c r="AW207" s="20" t="s">
        <v>377</v>
      </c>
      <c r="AX207" s="228">
        <v>1220115</v>
      </c>
      <c r="AY207" s="229">
        <v>307</v>
      </c>
      <c r="BA207" s="91"/>
      <c r="CK207" s="160"/>
      <c r="CL207" s="18"/>
      <c r="CM207" s="18"/>
      <c r="CN207" s="18"/>
      <c r="CO207" s="23"/>
      <c r="CP207" s="226"/>
      <c r="CQ207" s="163"/>
      <c r="CR207" s="164"/>
      <c r="CS207" s="23"/>
      <c r="CT207" s="163"/>
      <c r="DJ207" s="232" t="s">
        <v>895</v>
      </c>
      <c r="DK207" s="234" t="s">
        <v>233</v>
      </c>
      <c r="DL207" s="234" t="s">
        <v>1147</v>
      </c>
      <c r="DM207" s="235">
        <v>44576</v>
      </c>
      <c r="DN207" s="236">
        <v>658</v>
      </c>
      <c r="DO207" s="237">
        <v>296.10000000000002</v>
      </c>
      <c r="DP207" s="236">
        <v>428</v>
      </c>
      <c r="EF207" s="21"/>
      <c r="EG207" s="18"/>
      <c r="EH207" s="18"/>
      <c r="EI207" s="20"/>
      <c r="EX207" s="27"/>
      <c r="EY207" s="18"/>
      <c r="EZ207" s="20"/>
      <c r="FA207" s="18"/>
    </row>
    <row r="208" spans="46:157" x14ac:dyDescent="0.3">
      <c r="AT208" s="44" t="str">
        <f t="shared" si="117"/>
        <v>6_13S.L8.S</v>
      </c>
      <c r="AU208" s="18" t="s">
        <v>68</v>
      </c>
      <c r="AV208" s="18" t="s">
        <v>1012</v>
      </c>
      <c r="AW208" s="20" t="s">
        <v>377</v>
      </c>
      <c r="AX208" s="228">
        <v>1220115</v>
      </c>
      <c r="AY208" s="229">
        <v>296</v>
      </c>
      <c r="BA208" s="91"/>
      <c r="CK208" s="160"/>
      <c r="CL208" s="18"/>
      <c r="CM208" s="18"/>
      <c r="CN208" s="18"/>
      <c r="CO208" s="23"/>
      <c r="CP208" s="226"/>
      <c r="CQ208" s="163"/>
      <c r="CR208" s="164"/>
      <c r="CS208" s="23"/>
      <c r="CT208" s="163"/>
      <c r="DJ208" s="232" t="s">
        <v>895</v>
      </c>
      <c r="DK208" s="234" t="s">
        <v>233</v>
      </c>
      <c r="DL208" s="234" t="s">
        <v>1148</v>
      </c>
      <c r="DM208" s="235">
        <v>44576</v>
      </c>
      <c r="DN208" s="236">
        <v>658</v>
      </c>
      <c r="DO208" s="237">
        <v>279.64999999999998</v>
      </c>
      <c r="DP208" s="236">
        <v>428</v>
      </c>
      <c r="EF208" s="19"/>
      <c r="EG208" s="18"/>
      <c r="EH208" s="18"/>
      <c r="EI208" s="18"/>
      <c r="EX208" s="27"/>
      <c r="EY208" s="18"/>
      <c r="EZ208" s="20"/>
      <c r="FA208" s="18"/>
    </row>
    <row r="209" spans="46:157" x14ac:dyDescent="0.3">
      <c r="AT209" s="44" t="str">
        <f t="shared" si="117"/>
        <v>6_6T.L8.S</v>
      </c>
      <c r="AU209" s="18" t="s">
        <v>68</v>
      </c>
      <c r="AV209" s="18" t="s">
        <v>1184</v>
      </c>
      <c r="AW209" s="20" t="s">
        <v>377</v>
      </c>
      <c r="AX209" s="228">
        <v>1220115</v>
      </c>
      <c r="AY209" s="229">
        <v>405</v>
      </c>
      <c r="BA209" s="91"/>
      <c r="CK209" s="160"/>
      <c r="CL209" s="18"/>
      <c r="CM209" s="18"/>
      <c r="CN209" s="18"/>
      <c r="CO209" s="23"/>
      <c r="CP209" s="226"/>
      <c r="CQ209" s="163"/>
      <c r="CR209" s="156"/>
      <c r="CS209" s="23"/>
      <c r="CT209" s="163"/>
      <c r="DJ209" s="232" t="s">
        <v>886</v>
      </c>
      <c r="DK209" s="234" t="s">
        <v>233</v>
      </c>
      <c r="DL209" s="234" t="s">
        <v>300</v>
      </c>
      <c r="DM209" s="235">
        <v>44576</v>
      </c>
      <c r="DN209" s="236">
        <v>1568</v>
      </c>
      <c r="DO209" s="237">
        <v>705.6</v>
      </c>
      <c r="DP209" s="236">
        <v>1019</v>
      </c>
      <c r="EF209" s="19"/>
      <c r="EG209" s="18"/>
      <c r="EH209" s="18"/>
      <c r="EI209" s="18"/>
      <c r="EX209" s="27"/>
      <c r="EY209" s="18"/>
      <c r="EZ209" s="20"/>
      <c r="FA209" s="18"/>
    </row>
    <row r="210" spans="46:157" x14ac:dyDescent="0.3">
      <c r="AT210" s="44" t="str">
        <f t="shared" si="117"/>
        <v>6_8T.L8.S</v>
      </c>
      <c r="AU210" s="18" t="s">
        <v>68</v>
      </c>
      <c r="AV210" s="18" t="s">
        <v>1185</v>
      </c>
      <c r="AW210" s="20" t="s">
        <v>377</v>
      </c>
      <c r="AX210" s="228">
        <v>1220115</v>
      </c>
      <c r="AY210" s="229">
        <v>405</v>
      </c>
      <c r="BA210" s="91"/>
      <c r="CK210" s="160"/>
      <c r="CL210" s="18"/>
      <c r="CM210" s="18"/>
      <c r="CN210" s="18"/>
      <c r="CO210" s="23"/>
      <c r="CP210" s="226"/>
      <c r="CQ210" s="163"/>
      <c r="CR210" s="47"/>
      <c r="CS210" s="23"/>
      <c r="CT210" s="163"/>
      <c r="DJ210" s="232" t="s">
        <v>886</v>
      </c>
      <c r="DK210" s="234" t="s">
        <v>233</v>
      </c>
      <c r="DL210" s="234" t="s">
        <v>262</v>
      </c>
      <c r="DM210" s="235">
        <v>44576</v>
      </c>
      <c r="DN210" s="236">
        <v>1568</v>
      </c>
      <c r="DO210" s="237">
        <v>666.4</v>
      </c>
      <c r="DP210" s="236">
        <v>1019</v>
      </c>
      <c r="EF210" s="19"/>
      <c r="EG210" s="18"/>
      <c r="EH210" s="18"/>
      <c r="EI210" s="18"/>
      <c r="EX210" s="27"/>
      <c r="EY210" s="18"/>
      <c r="EZ210" s="20"/>
      <c r="FA210" s="18"/>
    </row>
    <row r="211" spans="46:157" x14ac:dyDescent="0.3">
      <c r="AT211" s="44" t="str">
        <f t="shared" ref="AT211:AT274" si="118">CONCATENATE(AV211,".",AU211,".",AW211)</f>
        <v>6H_14S.L8.S</v>
      </c>
      <c r="AU211" s="18" t="s">
        <v>68</v>
      </c>
      <c r="AV211" s="18" t="s">
        <v>1039</v>
      </c>
      <c r="AW211" s="20" t="s">
        <v>377</v>
      </c>
      <c r="AX211" s="228">
        <v>1220115</v>
      </c>
      <c r="AY211" s="229">
        <v>95</v>
      </c>
      <c r="BA211" s="91"/>
      <c r="CK211" s="160"/>
      <c r="CL211" s="18"/>
      <c r="CM211" s="18"/>
      <c r="CN211" s="18"/>
      <c r="CO211" s="23"/>
      <c r="CP211" s="226"/>
      <c r="CQ211" s="163"/>
      <c r="CR211" s="164"/>
      <c r="CS211" s="23"/>
      <c r="CT211" s="163"/>
      <c r="DJ211" s="232" t="s">
        <v>886</v>
      </c>
      <c r="DK211" s="234" t="s">
        <v>233</v>
      </c>
      <c r="DL211" s="234" t="s">
        <v>1146</v>
      </c>
      <c r="DM211" s="235">
        <v>44576</v>
      </c>
      <c r="DN211" s="236">
        <v>1568</v>
      </c>
      <c r="DO211" s="237">
        <v>1019</v>
      </c>
      <c r="DP211" s="236">
        <v>1019</v>
      </c>
      <c r="EF211" s="21"/>
      <c r="EG211" s="18"/>
      <c r="EH211" s="18"/>
      <c r="EI211" s="18"/>
      <c r="EX211" s="27"/>
      <c r="EY211" s="18"/>
      <c r="EZ211" s="20"/>
      <c r="FA211" s="18"/>
    </row>
    <row r="212" spans="46:157" x14ac:dyDescent="0.3">
      <c r="AT212" s="44" t="str">
        <f t="shared" si="118"/>
        <v>6H_14x8S.L8.S</v>
      </c>
      <c r="AU212" s="18" t="s">
        <v>68</v>
      </c>
      <c r="AV212" s="18" t="s">
        <v>1075</v>
      </c>
      <c r="AW212" s="20" t="s">
        <v>377</v>
      </c>
      <c r="AX212" s="228">
        <v>1220115</v>
      </c>
      <c r="AY212" s="229">
        <v>95</v>
      </c>
      <c r="BA212" s="91"/>
      <c r="CK212" s="160"/>
      <c r="CL212" s="18"/>
      <c r="CM212" s="18"/>
      <c r="CN212" s="18"/>
      <c r="CO212" s="23"/>
      <c r="CP212" s="226"/>
      <c r="CQ212" s="163"/>
      <c r="CR212" s="164"/>
      <c r="CS212" s="23"/>
      <c r="CT212" s="163"/>
      <c r="DJ212" s="232" t="s">
        <v>886</v>
      </c>
      <c r="DK212" s="234" t="s">
        <v>233</v>
      </c>
      <c r="DL212" s="234" t="s">
        <v>1149</v>
      </c>
      <c r="DM212" s="235">
        <v>44576</v>
      </c>
      <c r="DN212" s="236">
        <v>1568</v>
      </c>
      <c r="DO212" s="237">
        <v>666.4</v>
      </c>
      <c r="DP212" s="236">
        <v>1019</v>
      </c>
      <c r="EF212" s="21"/>
      <c r="EG212" s="18"/>
      <c r="EH212" s="18"/>
      <c r="EI212" s="18"/>
      <c r="EX212" s="27"/>
      <c r="EY212" s="18"/>
      <c r="EZ212" s="20"/>
      <c r="FA212" s="18"/>
    </row>
    <row r="213" spans="46:157" x14ac:dyDescent="0.3">
      <c r="AT213" s="44" t="str">
        <f t="shared" si="118"/>
        <v>7_10T.L8.S</v>
      </c>
      <c r="AU213" s="18" t="s">
        <v>68</v>
      </c>
      <c r="AV213" s="18" t="s">
        <v>763</v>
      </c>
      <c r="AW213" s="20" t="s">
        <v>377</v>
      </c>
      <c r="AX213" s="228">
        <v>1220115</v>
      </c>
      <c r="AY213" s="229">
        <v>364</v>
      </c>
      <c r="BA213" s="91"/>
      <c r="CK213" s="160"/>
      <c r="CL213" s="18"/>
      <c r="CM213" s="18"/>
      <c r="CN213" s="18"/>
      <c r="CO213" s="23"/>
      <c r="CP213" s="226"/>
      <c r="CQ213" s="163"/>
      <c r="CR213" s="156"/>
      <c r="CS213" s="23"/>
      <c r="CT213" s="163"/>
      <c r="DJ213" s="232" t="s">
        <v>886</v>
      </c>
      <c r="DK213" s="234" t="s">
        <v>233</v>
      </c>
      <c r="DL213" s="234" t="s">
        <v>1147</v>
      </c>
      <c r="DM213" s="235">
        <v>44576</v>
      </c>
      <c r="DN213" s="236">
        <v>1568</v>
      </c>
      <c r="DO213" s="237">
        <v>705.6</v>
      </c>
      <c r="DP213" s="236">
        <v>1019</v>
      </c>
      <c r="EF213" s="19"/>
      <c r="EG213" s="18"/>
      <c r="EH213" s="18"/>
      <c r="EI213" s="18"/>
      <c r="EX213" s="27"/>
      <c r="EY213" s="18"/>
      <c r="EZ213" s="20"/>
      <c r="FA213" s="18"/>
    </row>
    <row r="214" spans="46:157" x14ac:dyDescent="0.3">
      <c r="AT214" s="44" t="str">
        <f t="shared" si="118"/>
        <v>7_6T.L8.S</v>
      </c>
      <c r="AU214" s="18" t="s">
        <v>68</v>
      </c>
      <c r="AV214" s="20" t="s">
        <v>736</v>
      </c>
      <c r="AW214" s="20" t="s">
        <v>377</v>
      </c>
      <c r="AX214" s="228">
        <v>1220115</v>
      </c>
      <c r="AY214" s="229">
        <v>405</v>
      </c>
      <c r="BA214" s="91"/>
      <c r="CK214" s="160"/>
      <c r="CL214" s="18"/>
      <c r="CM214" s="18"/>
      <c r="CN214" s="18"/>
      <c r="CO214" s="23"/>
      <c r="CP214" s="226"/>
      <c r="CQ214" s="163"/>
      <c r="CR214" s="47"/>
      <c r="CS214" s="23"/>
      <c r="CT214" s="163"/>
      <c r="DJ214" s="232" t="s">
        <v>886</v>
      </c>
      <c r="DK214" s="234" t="s">
        <v>233</v>
      </c>
      <c r="DL214" s="234" t="s">
        <v>1148</v>
      </c>
      <c r="DM214" s="235">
        <v>44576</v>
      </c>
      <c r="DN214" s="236">
        <v>1568</v>
      </c>
      <c r="DO214" s="237">
        <v>666.4</v>
      </c>
      <c r="DP214" s="236">
        <v>1019</v>
      </c>
      <c r="EF214" s="19"/>
      <c r="EG214" s="18"/>
      <c r="EH214" s="18"/>
      <c r="EI214" s="18"/>
      <c r="EX214" s="27"/>
      <c r="EY214" s="18"/>
      <c r="EZ214" s="20"/>
      <c r="FA214" s="18"/>
    </row>
    <row r="215" spans="46:157" x14ac:dyDescent="0.3">
      <c r="AT215" s="44" t="str">
        <f t="shared" si="118"/>
        <v>7_8T.L8.S</v>
      </c>
      <c r="AU215" s="18" t="s">
        <v>68</v>
      </c>
      <c r="AV215" s="18" t="s">
        <v>748</v>
      </c>
      <c r="AW215" s="20" t="s">
        <v>377</v>
      </c>
      <c r="AX215" s="228">
        <v>1220115</v>
      </c>
      <c r="AY215" s="229">
        <v>405</v>
      </c>
      <c r="BA215" s="91"/>
      <c r="CK215" s="160"/>
      <c r="CL215" s="18"/>
      <c r="CM215" s="18"/>
      <c r="CN215" s="18"/>
      <c r="CO215" s="23"/>
      <c r="CP215" s="226"/>
      <c r="CQ215" s="163"/>
      <c r="CR215" s="47"/>
      <c r="CS215" s="23"/>
      <c r="CT215" s="163"/>
      <c r="DJ215" s="232" t="s">
        <v>912</v>
      </c>
      <c r="DK215" s="234" t="s">
        <v>233</v>
      </c>
      <c r="DL215" s="234" t="s">
        <v>300</v>
      </c>
      <c r="DM215" s="235">
        <v>44576</v>
      </c>
      <c r="DN215" s="236">
        <v>998</v>
      </c>
      <c r="DO215" s="237">
        <v>449.1</v>
      </c>
      <c r="DP215" s="236">
        <v>649</v>
      </c>
      <c r="EF215" s="19"/>
      <c r="EG215" s="18"/>
      <c r="EH215" s="18"/>
      <c r="EI215" s="18"/>
      <c r="EX215" s="27"/>
      <c r="EY215" s="18"/>
      <c r="EZ215" s="20"/>
      <c r="FA215" s="18"/>
    </row>
    <row r="216" spans="46:157" x14ac:dyDescent="0.3">
      <c r="AT216" s="44" t="str">
        <f t="shared" si="118"/>
        <v>7H_10T.L8.S</v>
      </c>
      <c r="AU216" s="18" t="s">
        <v>68</v>
      </c>
      <c r="AV216" s="18" t="s">
        <v>769</v>
      </c>
      <c r="AW216" s="20" t="s">
        <v>377</v>
      </c>
      <c r="AX216" s="228">
        <v>1220115</v>
      </c>
      <c r="AY216" s="229">
        <v>364</v>
      </c>
      <c r="BA216" s="91"/>
      <c r="CK216" s="160"/>
      <c r="CL216" s="18"/>
      <c r="CM216" s="18"/>
      <c r="CN216" s="18"/>
      <c r="CO216" s="23"/>
      <c r="CP216" s="226"/>
      <c r="CQ216" s="163"/>
      <c r="CR216" s="47"/>
      <c r="CS216" s="23"/>
      <c r="CT216" s="163"/>
      <c r="DJ216" s="232" t="s">
        <v>912</v>
      </c>
      <c r="DK216" s="234" t="s">
        <v>233</v>
      </c>
      <c r="DL216" s="234" t="s">
        <v>262</v>
      </c>
      <c r="DM216" s="235">
        <v>44576</v>
      </c>
      <c r="DN216" s="236">
        <v>998</v>
      </c>
      <c r="DO216" s="237">
        <v>424.15</v>
      </c>
      <c r="DP216" s="236">
        <v>649</v>
      </c>
      <c r="EF216" s="19"/>
      <c r="EG216" s="18"/>
      <c r="EH216" s="18"/>
      <c r="EI216" s="18"/>
      <c r="EX216" s="27"/>
      <c r="EY216" s="18"/>
      <c r="EZ216" s="20"/>
      <c r="FA216" s="18"/>
    </row>
    <row r="217" spans="46:157" x14ac:dyDescent="0.3">
      <c r="AT217" s="44" t="str">
        <f t="shared" si="118"/>
        <v>8_10T.L8.S</v>
      </c>
      <c r="AU217" s="18" t="s">
        <v>68</v>
      </c>
      <c r="AV217" s="18" t="s">
        <v>776</v>
      </c>
      <c r="AW217" s="20" t="s">
        <v>377</v>
      </c>
      <c r="AX217" s="228">
        <v>1220115</v>
      </c>
      <c r="AY217" s="229">
        <v>364</v>
      </c>
      <c r="BA217" s="91"/>
      <c r="CK217" s="160"/>
      <c r="CL217" s="18"/>
      <c r="CM217" s="18"/>
      <c r="CN217" s="18"/>
      <c r="CO217" s="23"/>
      <c r="CP217" s="226"/>
      <c r="CQ217" s="163"/>
      <c r="CR217" s="47"/>
      <c r="CS217" s="23"/>
      <c r="CT217" s="163"/>
      <c r="DJ217" s="232" t="s">
        <v>912</v>
      </c>
      <c r="DK217" s="234" t="s">
        <v>233</v>
      </c>
      <c r="DL217" s="234" t="s">
        <v>1146</v>
      </c>
      <c r="DM217" s="235">
        <v>44576</v>
      </c>
      <c r="DN217" s="236">
        <v>998</v>
      </c>
      <c r="DO217" s="237">
        <v>649</v>
      </c>
      <c r="DP217" s="236">
        <v>649</v>
      </c>
      <c r="EF217" s="19"/>
      <c r="EG217" s="18"/>
      <c r="EH217" s="18"/>
      <c r="EI217" s="20"/>
      <c r="EX217" s="27"/>
      <c r="EY217" s="18"/>
      <c r="EZ217" s="20"/>
      <c r="FA217" s="18"/>
    </row>
    <row r="218" spans="46:157" x14ac:dyDescent="0.3">
      <c r="AT218" s="44" t="str">
        <f t="shared" si="118"/>
        <v>8_12T.L8.S</v>
      </c>
      <c r="AU218" s="18" t="s">
        <v>68</v>
      </c>
      <c r="AV218" s="18" t="s">
        <v>791</v>
      </c>
      <c r="AW218" s="20" t="s">
        <v>377</v>
      </c>
      <c r="AX218" s="228">
        <v>1220115</v>
      </c>
      <c r="AY218" s="229">
        <v>352</v>
      </c>
      <c r="BA218" s="91"/>
      <c r="CK218" s="160"/>
      <c r="CL218" s="18"/>
      <c r="CM218" s="18"/>
      <c r="CN218" s="18"/>
      <c r="CO218" s="23"/>
      <c r="CP218" s="226"/>
      <c r="CQ218" s="163"/>
      <c r="CR218" s="47"/>
      <c r="CS218" s="23"/>
      <c r="CT218" s="163"/>
      <c r="DJ218" s="232" t="s">
        <v>912</v>
      </c>
      <c r="DK218" s="234" t="s">
        <v>233</v>
      </c>
      <c r="DL218" s="234" t="s">
        <v>1149</v>
      </c>
      <c r="DM218" s="235">
        <v>44576</v>
      </c>
      <c r="DN218" s="236">
        <v>998</v>
      </c>
      <c r="DO218" s="237">
        <v>424.15</v>
      </c>
      <c r="DP218" s="236">
        <v>649</v>
      </c>
      <c r="EF218" s="19"/>
      <c r="EG218" s="18"/>
      <c r="EH218" s="18"/>
      <c r="EI218" s="18"/>
      <c r="EX218" s="27"/>
      <c r="EY218" s="18"/>
      <c r="EZ218" s="20"/>
      <c r="FA218" s="18"/>
    </row>
    <row r="219" spans="46:157" x14ac:dyDescent="0.3">
      <c r="AT219" s="44" t="str">
        <f t="shared" si="118"/>
        <v>8_14S.L8.S</v>
      </c>
      <c r="AU219" s="18" t="s">
        <v>68</v>
      </c>
      <c r="AV219" s="18" t="s">
        <v>1046</v>
      </c>
      <c r="AW219" s="20" t="s">
        <v>377</v>
      </c>
      <c r="AX219" s="228">
        <v>1220115</v>
      </c>
      <c r="AY219" s="229">
        <v>80</v>
      </c>
      <c r="BA219" s="91"/>
      <c r="CK219" s="160"/>
      <c r="CL219" s="18"/>
      <c r="CM219" s="18"/>
      <c r="CN219" s="18"/>
      <c r="CO219" s="23"/>
      <c r="CP219" s="226"/>
      <c r="CQ219" s="163"/>
      <c r="CR219" s="47"/>
      <c r="CS219" s="23"/>
      <c r="CT219" s="163"/>
      <c r="DJ219" s="232" t="s">
        <v>912</v>
      </c>
      <c r="DK219" s="234" t="s">
        <v>233</v>
      </c>
      <c r="DL219" s="234" t="s">
        <v>1147</v>
      </c>
      <c r="DM219" s="235">
        <v>44576</v>
      </c>
      <c r="DN219" s="236">
        <v>998</v>
      </c>
      <c r="DO219" s="237">
        <v>449.1</v>
      </c>
      <c r="DP219" s="236">
        <v>649</v>
      </c>
      <c r="EF219" s="19"/>
      <c r="EG219" s="18"/>
      <c r="EH219" s="18"/>
      <c r="EI219" s="18"/>
      <c r="EX219" s="27"/>
      <c r="EY219" s="18"/>
      <c r="EZ219" s="20"/>
      <c r="FA219" s="18"/>
    </row>
    <row r="220" spans="46:157" x14ac:dyDescent="0.3">
      <c r="AT220" s="44" t="str">
        <f t="shared" si="118"/>
        <v>8_6T.L8.S</v>
      </c>
      <c r="AU220" s="18" t="s">
        <v>68</v>
      </c>
      <c r="AV220" s="18" t="s">
        <v>744</v>
      </c>
      <c r="AW220" s="20" t="s">
        <v>377</v>
      </c>
      <c r="AX220" s="228">
        <v>1220115</v>
      </c>
      <c r="AY220" s="229">
        <v>405</v>
      </c>
      <c r="BA220" s="91"/>
      <c r="CK220" s="160"/>
      <c r="CL220" s="18"/>
      <c r="CM220" s="18"/>
      <c r="CN220" s="18"/>
      <c r="CO220" s="23"/>
      <c r="CP220" s="226"/>
      <c r="CQ220" s="163"/>
      <c r="CR220" s="47"/>
      <c r="CS220" s="23"/>
      <c r="CT220" s="163"/>
      <c r="DJ220" s="232" t="s">
        <v>912</v>
      </c>
      <c r="DK220" s="234" t="s">
        <v>233</v>
      </c>
      <c r="DL220" s="234" t="s">
        <v>1148</v>
      </c>
      <c r="DM220" s="235">
        <v>44576</v>
      </c>
      <c r="DN220" s="236">
        <v>998</v>
      </c>
      <c r="DO220" s="237">
        <v>424.15</v>
      </c>
      <c r="DP220" s="236">
        <v>649</v>
      </c>
      <c r="EF220" s="19"/>
      <c r="EG220" s="18"/>
      <c r="EH220" s="18"/>
      <c r="EI220" s="18"/>
      <c r="EX220" s="27"/>
      <c r="EY220" s="18"/>
      <c r="EZ220" s="20"/>
      <c r="FA220" s="18"/>
    </row>
    <row r="221" spans="46:157" x14ac:dyDescent="0.3">
      <c r="AT221" s="44" t="str">
        <f t="shared" si="118"/>
        <v>8_8T.L8.S</v>
      </c>
      <c r="AU221" s="18" t="s">
        <v>68</v>
      </c>
      <c r="AV221" s="18" t="s">
        <v>754</v>
      </c>
      <c r="AW221" s="20" t="s">
        <v>377</v>
      </c>
      <c r="AX221" s="228">
        <v>1220115</v>
      </c>
      <c r="AY221" s="229">
        <v>405</v>
      </c>
      <c r="BA221" s="91"/>
      <c r="CK221" s="160"/>
      <c r="CL221" s="18"/>
      <c r="CM221" s="18"/>
      <c r="CN221" s="18"/>
      <c r="CO221" s="23"/>
      <c r="CP221" s="226"/>
      <c r="CQ221" s="163"/>
      <c r="CR221" s="47"/>
      <c r="CS221" s="23"/>
      <c r="CT221" s="163"/>
      <c r="DJ221" s="232" t="s">
        <v>925</v>
      </c>
      <c r="DK221" s="234" t="s">
        <v>233</v>
      </c>
      <c r="DL221" s="234" t="s">
        <v>300</v>
      </c>
      <c r="DM221" s="235">
        <v>44576</v>
      </c>
      <c r="DN221" s="236">
        <v>737</v>
      </c>
      <c r="DO221" s="237">
        <v>331.65</v>
      </c>
      <c r="DP221" s="236">
        <v>479</v>
      </c>
      <c r="EF221" s="19"/>
      <c r="EG221" s="18"/>
      <c r="EH221" s="18"/>
      <c r="EI221" s="18"/>
      <c r="EX221" s="27"/>
      <c r="EY221" s="18"/>
      <c r="EZ221" s="20"/>
      <c r="FA221" s="18"/>
    </row>
    <row r="222" spans="46:157" x14ac:dyDescent="0.3">
      <c r="AT222" s="44" t="str">
        <f t="shared" si="118"/>
        <v>9_10T.L8.S</v>
      </c>
      <c r="AU222" s="18" t="s">
        <v>68</v>
      </c>
      <c r="AV222" s="18" t="s">
        <v>783</v>
      </c>
      <c r="AW222" s="20" t="s">
        <v>377</v>
      </c>
      <c r="AX222" s="228">
        <v>1220115</v>
      </c>
      <c r="AY222" s="229">
        <v>364</v>
      </c>
      <c r="BA222" s="91"/>
      <c r="CK222" s="160"/>
      <c r="CL222" s="18"/>
      <c r="CM222" s="18"/>
      <c r="CN222" s="18"/>
      <c r="CO222" s="23"/>
      <c r="CP222" s="226"/>
      <c r="CQ222" s="163"/>
      <c r="CR222" s="164"/>
      <c r="CS222" s="23"/>
      <c r="CT222" s="163"/>
      <c r="DJ222" s="232" t="s">
        <v>925</v>
      </c>
      <c r="DK222" s="234" t="s">
        <v>233</v>
      </c>
      <c r="DL222" s="234" t="s">
        <v>262</v>
      </c>
      <c r="DM222" s="235">
        <v>44576</v>
      </c>
      <c r="DN222" s="236">
        <v>737</v>
      </c>
      <c r="DO222" s="237">
        <v>313.23</v>
      </c>
      <c r="DP222" s="236">
        <v>479</v>
      </c>
      <c r="EF222" s="21"/>
      <c r="EG222" s="18"/>
      <c r="EH222" s="18"/>
      <c r="EI222" s="18"/>
      <c r="EX222" s="27"/>
      <c r="EY222" s="18"/>
      <c r="EZ222" s="20"/>
      <c r="FA222" s="18"/>
    </row>
    <row r="223" spans="46:157" x14ac:dyDescent="0.3">
      <c r="AT223" s="44" t="str">
        <f t="shared" si="118"/>
        <v>9_12T.L8.S</v>
      </c>
      <c r="AU223" s="18" t="s">
        <v>68</v>
      </c>
      <c r="AV223" s="18" t="s">
        <v>804</v>
      </c>
      <c r="AW223" s="20" t="s">
        <v>377</v>
      </c>
      <c r="AX223" s="228">
        <v>1220115</v>
      </c>
      <c r="AY223" s="229">
        <v>352</v>
      </c>
      <c r="BA223" s="91"/>
      <c r="CK223" s="160"/>
      <c r="CL223" s="18"/>
      <c r="CM223" s="18"/>
      <c r="CN223" s="18"/>
      <c r="CO223" s="23"/>
      <c r="CP223" s="226"/>
      <c r="CQ223" s="163"/>
      <c r="CR223" s="164"/>
      <c r="CS223" s="23"/>
      <c r="CT223" s="163"/>
      <c r="DJ223" s="232" t="s">
        <v>925</v>
      </c>
      <c r="DK223" s="234" t="s">
        <v>233</v>
      </c>
      <c r="DL223" s="234" t="s">
        <v>1146</v>
      </c>
      <c r="DM223" s="235">
        <v>44576</v>
      </c>
      <c r="DN223" s="236">
        <v>737</v>
      </c>
      <c r="DO223" s="237">
        <v>479</v>
      </c>
      <c r="DP223" s="236">
        <v>479</v>
      </c>
      <c r="EF223" s="19"/>
      <c r="EG223" s="18"/>
      <c r="EH223" s="18"/>
      <c r="EI223" s="20"/>
      <c r="EX223" s="27"/>
      <c r="EY223" s="18"/>
      <c r="EZ223" s="20"/>
      <c r="FA223" s="18"/>
    </row>
    <row r="224" spans="46:157" x14ac:dyDescent="0.3">
      <c r="AT224" s="44" t="str">
        <f t="shared" si="118"/>
        <v>9_13T.L8.S</v>
      </c>
      <c r="AU224" s="18" t="s">
        <v>68</v>
      </c>
      <c r="AV224" s="18" t="s">
        <v>837</v>
      </c>
      <c r="AW224" s="20" t="s">
        <v>377</v>
      </c>
      <c r="AX224" s="228">
        <v>1220115</v>
      </c>
      <c r="AY224" s="229">
        <v>301</v>
      </c>
      <c r="BA224" s="91"/>
      <c r="CK224" s="160"/>
      <c r="CL224" s="18"/>
      <c r="CM224" s="18"/>
      <c r="CN224" s="18"/>
      <c r="CO224" s="23"/>
      <c r="CP224" s="226"/>
      <c r="CQ224" s="163"/>
      <c r="CR224" s="164"/>
      <c r="CS224" s="23"/>
      <c r="CT224" s="163"/>
      <c r="DJ224" s="232" t="s">
        <v>925</v>
      </c>
      <c r="DK224" s="234" t="s">
        <v>233</v>
      </c>
      <c r="DL224" s="234" t="s">
        <v>1149</v>
      </c>
      <c r="DM224" s="235">
        <v>44576</v>
      </c>
      <c r="DN224" s="236">
        <v>737</v>
      </c>
      <c r="DO224" s="237">
        <v>313.23</v>
      </c>
      <c r="DP224" s="236">
        <v>479</v>
      </c>
      <c r="EF224" s="19"/>
      <c r="EG224" s="18"/>
      <c r="EH224" s="18"/>
      <c r="EI224" s="20"/>
      <c r="EX224" s="27"/>
      <c r="EY224" s="18"/>
      <c r="EZ224" s="20"/>
      <c r="FA224" s="18"/>
    </row>
    <row r="225" spans="46:157" x14ac:dyDescent="0.3">
      <c r="AT225" s="44" t="str">
        <f t="shared" si="118"/>
        <v>9_14T.L8.S</v>
      </c>
      <c r="AU225" s="18" t="s">
        <v>68</v>
      </c>
      <c r="AV225" s="18" t="s">
        <v>874</v>
      </c>
      <c r="AW225" s="20" t="s">
        <v>377</v>
      </c>
      <c r="AX225" s="228">
        <v>1220115</v>
      </c>
      <c r="AY225" s="229">
        <v>121</v>
      </c>
      <c r="BA225" s="91"/>
      <c r="CK225" s="160"/>
      <c r="CL225" s="18"/>
      <c r="CM225" s="18"/>
      <c r="CN225" s="18"/>
      <c r="CO225" s="23"/>
      <c r="CP225" s="226"/>
      <c r="CQ225" s="163"/>
      <c r="CR225" s="164"/>
      <c r="CS225" s="23"/>
      <c r="CT225" s="163"/>
      <c r="DJ225" s="232" t="s">
        <v>925</v>
      </c>
      <c r="DK225" s="234" t="s">
        <v>233</v>
      </c>
      <c r="DL225" s="234" t="s">
        <v>1147</v>
      </c>
      <c r="DM225" s="235">
        <v>44576</v>
      </c>
      <c r="DN225" s="236">
        <v>737</v>
      </c>
      <c r="DO225" s="237">
        <v>331.65</v>
      </c>
      <c r="DP225" s="236">
        <v>479</v>
      </c>
      <c r="EF225" s="19"/>
      <c r="EG225" s="18"/>
      <c r="EH225" s="18"/>
      <c r="EI225" s="18"/>
      <c r="EX225" s="27"/>
      <c r="EY225" s="18"/>
      <c r="EZ225" s="20"/>
      <c r="FA225" s="18"/>
    </row>
    <row r="226" spans="46:157" x14ac:dyDescent="0.3">
      <c r="AT226" s="44" t="str">
        <f t="shared" si="118"/>
        <v>10_12T.L8.V</v>
      </c>
      <c r="AU226" s="18" t="s">
        <v>68</v>
      </c>
      <c r="AV226" s="18" t="s">
        <v>813</v>
      </c>
      <c r="AW226" s="20" t="s">
        <v>940</v>
      </c>
      <c r="AX226" s="228">
        <v>1220115</v>
      </c>
      <c r="AY226" s="229">
        <v>352</v>
      </c>
      <c r="BA226" s="91"/>
      <c r="CK226" s="160"/>
      <c r="CL226" s="18"/>
      <c r="CM226" s="18"/>
      <c r="CN226" s="18"/>
      <c r="CO226" s="23"/>
      <c r="CP226" s="226"/>
      <c r="CQ226" s="163"/>
      <c r="CR226" s="164"/>
      <c r="CS226" s="23"/>
      <c r="CT226" s="163"/>
      <c r="DJ226" s="232" t="s">
        <v>925</v>
      </c>
      <c r="DK226" s="234" t="s">
        <v>233</v>
      </c>
      <c r="DL226" s="234" t="s">
        <v>1148</v>
      </c>
      <c r="DM226" s="235">
        <v>44576</v>
      </c>
      <c r="DN226" s="236">
        <v>737</v>
      </c>
      <c r="DO226" s="237">
        <v>313.23</v>
      </c>
      <c r="DP226" s="236">
        <v>479</v>
      </c>
      <c r="EF226" s="19"/>
      <c r="EG226" s="18"/>
      <c r="EH226" s="18"/>
      <c r="EI226" s="20"/>
      <c r="EX226" s="27"/>
      <c r="EY226" s="18"/>
      <c r="EZ226" s="20"/>
      <c r="FA226" s="18"/>
    </row>
    <row r="227" spans="46:157" x14ac:dyDescent="0.3">
      <c r="AT227" s="44" t="str">
        <f t="shared" si="118"/>
        <v>10_13T.L8.V</v>
      </c>
      <c r="AU227" s="18" t="s">
        <v>68</v>
      </c>
      <c r="AV227" s="18" t="s">
        <v>848</v>
      </c>
      <c r="AW227" s="20" t="s">
        <v>940</v>
      </c>
      <c r="AX227" s="228">
        <v>1220115</v>
      </c>
      <c r="AY227" s="229">
        <v>301</v>
      </c>
      <c r="BA227" s="91"/>
      <c r="CK227" s="160"/>
      <c r="CL227" s="18"/>
      <c r="CM227" s="18"/>
      <c r="CN227" s="18"/>
      <c r="CO227" s="23"/>
      <c r="CP227" s="226"/>
      <c r="CQ227" s="163"/>
      <c r="CR227" s="164"/>
      <c r="CS227" s="23"/>
      <c r="CT227" s="163"/>
      <c r="DJ227" s="232" t="s">
        <v>899</v>
      </c>
      <c r="DK227" s="234" t="s">
        <v>233</v>
      </c>
      <c r="DL227" s="234" t="s">
        <v>300</v>
      </c>
      <c r="DM227" s="235">
        <v>44576</v>
      </c>
      <c r="DN227" s="236">
        <v>691</v>
      </c>
      <c r="DO227" s="237">
        <v>310.95</v>
      </c>
      <c r="DP227" s="236">
        <v>449</v>
      </c>
      <c r="EF227" s="19"/>
      <c r="EG227" s="18"/>
      <c r="EH227" s="18"/>
      <c r="EI227" s="20"/>
      <c r="EX227" s="27"/>
      <c r="EY227" s="18"/>
      <c r="EZ227" s="20"/>
      <c r="FA227" s="18"/>
    </row>
    <row r="228" spans="46:157" x14ac:dyDescent="0.3">
      <c r="AT228" s="44" t="str">
        <f t="shared" si="118"/>
        <v>10_14S.L8.V</v>
      </c>
      <c r="AU228" s="18" t="s">
        <v>68</v>
      </c>
      <c r="AV228" s="18" t="s">
        <v>1122</v>
      </c>
      <c r="AW228" s="20" t="s">
        <v>940</v>
      </c>
      <c r="AX228" s="228">
        <v>1220115</v>
      </c>
      <c r="AY228" s="229">
        <v>105</v>
      </c>
      <c r="BA228" s="91"/>
      <c r="CK228" s="160"/>
      <c r="CL228" s="18"/>
      <c r="CM228" s="18"/>
      <c r="CN228" s="18"/>
      <c r="CO228" s="23"/>
      <c r="CP228" s="226"/>
      <c r="CQ228" s="163"/>
      <c r="CR228" s="164"/>
      <c r="CS228" s="23"/>
      <c r="CT228" s="163"/>
      <c r="DJ228" s="232" t="s">
        <v>899</v>
      </c>
      <c r="DK228" s="234" t="s">
        <v>233</v>
      </c>
      <c r="DL228" s="234" t="s">
        <v>262</v>
      </c>
      <c r="DM228" s="235">
        <v>44576</v>
      </c>
      <c r="DN228" s="236">
        <v>691</v>
      </c>
      <c r="DO228" s="237">
        <v>293.68</v>
      </c>
      <c r="DP228" s="236">
        <v>449</v>
      </c>
      <c r="EF228" s="21"/>
      <c r="EG228" s="18"/>
      <c r="EH228" s="18"/>
      <c r="EI228" s="20"/>
      <c r="EX228" s="27"/>
      <c r="EY228" s="18"/>
      <c r="EZ228" s="20"/>
      <c r="FA228" s="18"/>
    </row>
    <row r="229" spans="46:157" x14ac:dyDescent="0.3">
      <c r="AT229" s="44" t="str">
        <f t="shared" si="118"/>
        <v>10_14T.L8.V</v>
      </c>
      <c r="AU229" s="18" t="s">
        <v>68</v>
      </c>
      <c r="AV229" s="18" t="s">
        <v>887</v>
      </c>
      <c r="AW229" s="20" t="s">
        <v>940</v>
      </c>
      <c r="AX229" s="228">
        <v>1220115</v>
      </c>
      <c r="AY229" s="229">
        <v>121</v>
      </c>
      <c r="BA229" s="91"/>
      <c r="CK229" s="160"/>
      <c r="CL229" s="18"/>
      <c r="CM229" s="18"/>
      <c r="CN229" s="18"/>
      <c r="CO229" s="23"/>
      <c r="CP229" s="226"/>
      <c r="CQ229" s="163"/>
      <c r="CR229" s="164"/>
      <c r="CS229" s="23"/>
      <c r="CT229" s="163"/>
      <c r="DJ229" s="232" t="s">
        <v>899</v>
      </c>
      <c r="DK229" s="234" t="s">
        <v>233</v>
      </c>
      <c r="DL229" s="234" t="s">
        <v>1146</v>
      </c>
      <c r="DM229" s="235">
        <v>44576</v>
      </c>
      <c r="DN229" s="236">
        <v>691</v>
      </c>
      <c r="DO229" s="237">
        <v>449</v>
      </c>
      <c r="DP229" s="236">
        <v>449</v>
      </c>
      <c r="EF229" s="21"/>
      <c r="EG229" s="18"/>
      <c r="EH229" s="18"/>
      <c r="EI229" s="20"/>
      <c r="EX229" s="27"/>
      <c r="EY229" s="18"/>
      <c r="EZ229" s="20"/>
      <c r="FA229" s="18"/>
    </row>
    <row r="230" spans="46:157" x14ac:dyDescent="0.3">
      <c r="AT230" s="44" t="str">
        <f t="shared" si="118"/>
        <v>11_12T.L8.V</v>
      </c>
      <c r="AU230" s="18" t="s">
        <v>68</v>
      </c>
      <c r="AV230" s="18" t="s">
        <v>825</v>
      </c>
      <c r="AW230" s="20" t="s">
        <v>940</v>
      </c>
      <c r="AX230" s="228">
        <v>1220115</v>
      </c>
      <c r="AY230" s="229">
        <v>352</v>
      </c>
      <c r="BA230" s="91"/>
      <c r="CK230" s="160"/>
      <c r="CL230" s="18"/>
      <c r="CM230" s="18"/>
      <c r="CN230" s="18"/>
      <c r="CO230" s="23"/>
      <c r="CP230" s="226"/>
      <c r="CQ230" s="163"/>
      <c r="CR230" s="164"/>
      <c r="CS230" s="23"/>
      <c r="CT230" s="163"/>
      <c r="DJ230" s="232" t="s">
        <v>899</v>
      </c>
      <c r="DK230" s="234" t="s">
        <v>233</v>
      </c>
      <c r="DL230" s="234" t="s">
        <v>1149</v>
      </c>
      <c r="DM230" s="235">
        <v>44576</v>
      </c>
      <c r="DN230" s="236">
        <v>691</v>
      </c>
      <c r="DO230" s="237">
        <v>293.68</v>
      </c>
      <c r="DP230" s="236">
        <v>449</v>
      </c>
      <c r="EF230" s="19"/>
      <c r="EG230" s="18"/>
      <c r="EH230" s="18"/>
      <c r="EI230" s="20"/>
      <c r="EX230" s="27"/>
      <c r="EY230" s="18"/>
      <c r="EZ230" s="20"/>
      <c r="FA230" s="18"/>
    </row>
    <row r="231" spans="46:157" x14ac:dyDescent="0.3">
      <c r="AT231" s="44" t="str">
        <f t="shared" si="118"/>
        <v>11_13T.L8.V</v>
      </c>
      <c r="AU231" s="18" t="s">
        <v>68</v>
      </c>
      <c r="AV231" s="18" t="s">
        <v>857</v>
      </c>
      <c r="AW231" s="20" t="s">
        <v>940</v>
      </c>
      <c r="AX231" s="228">
        <v>1220115</v>
      </c>
      <c r="AY231" s="229">
        <v>301</v>
      </c>
      <c r="BA231" s="91"/>
      <c r="CK231" s="160"/>
      <c r="CL231" s="18"/>
      <c r="CM231" s="18"/>
      <c r="CN231" s="18"/>
      <c r="CO231" s="23"/>
      <c r="CP231" s="226"/>
      <c r="CQ231" s="163"/>
      <c r="CR231" s="168"/>
      <c r="CS231" s="23"/>
      <c r="CT231" s="167"/>
      <c r="DJ231" s="232" t="s">
        <v>899</v>
      </c>
      <c r="DK231" s="234" t="s">
        <v>233</v>
      </c>
      <c r="DL231" s="234" t="s">
        <v>1147</v>
      </c>
      <c r="DM231" s="235">
        <v>44576</v>
      </c>
      <c r="DN231" s="236">
        <v>691</v>
      </c>
      <c r="DO231" s="237">
        <v>310.95</v>
      </c>
      <c r="DP231" s="236">
        <v>449</v>
      </c>
      <c r="EF231" s="21"/>
      <c r="EG231" s="18"/>
      <c r="EH231" s="18"/>
      <c r="EI231" s="20"/>
      <c r="EX231" s="27"/>
      <c r="EY231" s="18"/>
      <c r="EZ231" s="20"/>
      <c r="FA231" s="18"/>
    </row>
    <row r="232" spans="46:157" x14ac:dyDescent="0.3">
      <c r="AT232" s="44" t="str">
        <f t="shared" si="118"/>
        <v>11_14T.L8.V</v>
      </c>
      <c r="AU232" s="18" t="s">
        <v>68</v>
      </c>
      <c r="AV232" s="18" t="s">
        <v>900</v>
      </c>
      <c r="AW232" s="20" t="s">
        <v>940</v>
      </c>
      <c r="AX232" s="228">
        <v>1220115</v>
      </c>
      <c r="AY232" s="229">
        <v>121</v>
      </c>
      <c r="BA232" s="91"/>
      <c r="CK232" s="160"/>
      <c r="CL232" s="18"/>
      <c r="CM232" s="18"/>
      <c r="CN232" s="18"/>
      <c r="CO232" s="23"/>
      <c r="CP232" s="226"/>
      <c r="CQ232" s="163"/>
      <c r="CR232" s="168"/>
      <c r="CS232" s="23"/>
      <c r="CT232" s="167"/>
      <c r="DJ232" s="232" t="s">
        <v>899</v>
      </c>
      <c r="DK232" s="234" t="s">
        <v>233</v>
      </c>
      <c r="DL232" s="234" t="s">
        <v>1148</v>
      </c>
      <c r="DM232" s="235">
        <v>44576</v>
      </c>
      <c r="DN232" s="236">
        <v>691</v>
      </c>
      <c r="DO232" s="237">
        <v>293.68</v>
      </c>
      <c r="DP232" s="236">
        <v>449</v>
      </c>
      <c r="EF232" s="21"/>
      <c r="EG232" s="18"/>
      <c r="EH232" s="18"/>
      <c r="EI232" s="18"/>
      <c r="EX232" s="27"/>
      <c r="EY232" s="18"/>
      <c r="EZ232" s="20"/>
      <c r="FA232" s="18"/>
    </row>
    <row r="233" spans="46:157" x14ac:dyDescent="0.3">
      <c r="AT233" s="44" t="str">
        <f t="shared" si="118"/>
        <v>12_13T.L8.V</v>
      </c>
      <c r="AU233" s="18" t="s">
        <v>68</v>
      </c>
      <c r="AV233" s="18" t="s">
        <v>865</v>
      </c>
      <c r="AW233" s="20" t="s">
        <v>940</v>
      </c>
      <c r="AX233" s="228">
        <v>1220115</v>
      </c>
      <c r="AY233" s="229">
        <v>301</v>
      </c>
      <c r="BA233" s="91"/>
      <c r="CK233" s="160"/>
      <c r="CL233" s="18"/>
      <c r="CM233" s="18"/>
      <c r="CN233" s="18"/>
      <c r="CO233" s="23"/>
      <c r="CP233" s="226"/>
      <c r="CQ233" s="167"/>
      <c r="CR233" s="168"/>
      <c r="CS233" s="23"/>
      <c r="CT233" s="167"/>
      <c r="DJ233" s="232" t="s">
        <v>883</v>
      </c>
      <c r="DK233" s="234" t="s">
        <v>235</v>
      </c>
      <c r="DL233" s="234" t="s">
        <v>1195</v>
      </c>
      <c r="DM233" s="235">
        <v>44576</v>
      </c>
      <c r="DN233" s="236">
        <v>1800</v>
      </c>
      <c r="DO233" s="237">
        <v>843.75</v>
      </c>
      <c r="DP233" s="236">
        <v>1189</v>
      </c>
      <c r="EF233" s="21"/>
      <c r="EG233" s="18"/>
      <c r="EH233" s="18"/>
      <c r="EI233" s="20"/>
      <c r="EX233" s="27"/>
      <c r="EY233" s="18"/>
      <c r="EZ233" s="20"/>
      <c r="FA233" s="18"/>
    </row>
    <row r="234" spans="46:157" x14ac:dyDescent="0.3">
      <c r="AT234" s="44" t="str">
        <f t="shared" si="118"/>
        <v>12_14F.L8.V</v>
      </c>
      <c r="AU234" s="18" t="s">
        <v>68</v>
      </c>
      <c r="AV234" s="18" t="s">
        <v>583</v>
      </c>
      <c r="AW234" s="20" t="s">
        <v>940</v>
      </c>
      <c r="AX234" s="228">
        <v>1220115</v>
      </c>
      <c r="AY234" s="229">
        <v>121</v>
      </c>
      <c r="BA234" s="91"/>
      <c r="CK234" s="160"/>
      <c r="CL234" s="18"/>
      <c r="CM234" s="18"/>
      <c r="CN234" s="18"/>
      <c r="CO234" s="23"/>
      <c r="CP234" s="226"/>
      <c r="CQ234" s="167"/>
      <c r="CR234" s="168"/>
      <c r="CS234" s="23"/>
      <c r="CT234" s="167"/>
      <c r="DJ234" s="232" t="s">
        <v>883</v>
      </c>
      <c r="DK234" s="234" t="s">
        <v>235</v>
      </c>
      <c r="DL234" s="234" t="s">
        <v>1196</v>
      </c>
      <c r="DM234" s="235">
        <v>44576</v>
      </c>
      <c r="DN234" s="236">
        <v>1800</v>
      </c>
      <c r="DO234" s="237">
        <v>675</v>
      </c>
      <c r="DP234" s="236">
        <v>1189</v>
      </c>
      <c r="EF234" s="21"/>
      <c r="EG234" s="18"/>
      <c r="EH234" s="18"/>
      <c r="EI234" s="20"/>
      <c r="EX234" s="27"/>
      <c r="EY234" s="18"/>
      <c r="EZ234" s="20"/>
      <c r="FA234" s="18"/>
    </row>
    <row r="235" spans="46:157" x14ac:dyDescent="0.3">
      <c r="AT235" s="44" t="str">
        <f t="shared" si="118"/>
        <v>12_14T.L8.V</v>
      </c>
      <c r="AU235" s="18" t="s">
        <v>68</v>
      </c>
      <c r="AV235" s="18" t="s">
        <v>913</v>
      </c>
      <c r="AW235" s="20" t="s">
        <v>940</v>
      </c>
      <c r="AX235" s="228">
        <v>1220115</v>
      </c>
      <c r="AY235" s="229">
        <v>121</v>
      </c>
      <c r="BA235" s="91"/>
      <c r="CK235" s="160"/>
      <c r="CL235" s="18"/>
      <c r="CM235" s="18"/>
      <c r="CN235" s="18"/>
      <c r="CO235" s="23"/>
      <c r="CP235" s="226"/>
      <c r="CQ235" s="167"/>
      <c r="CR235" s="168"/>
      <c r="CS235" s="23"/>
      <c r="CT235" s="167"/>
      <c r="DJ235" s="232" t="s">
        <v>883</v>
      </c>
      <c r="DK235" s="234" t="s">
        <v>235</v>
      </c>
      <c r="DL235" s="234" t="s">
        <v>1197</v>
      </c>
      <c r="DM235" s="235">
        <v>44576</v>
      </c>
      <c r="DN235" s="236">
        <v>1800</v>
      </c>
      <c r="DO235" s="237">
        <v>675</v>
      </c>
      <c r="DP235" s="236">
        <v>1189</v>
      </c>
      <c r="EF235" s="21"/>
      <c r="EG235" s="18"/>
      <c r="EH235" s="18"/>
      <c r="EI235" s="20"/>
      <c r="EX235" s="27"/>
      <c r="EY235" s="18"/>
      <c r="EZ235" s="20"/>
      <c r="FA235" s="18"/>
    </row>
    <row r="236" spans="46:157" x14ac:dyDescent="0.3">
      <c r="AT236" s="44" t="str">
        <f t="shared" si="118"/>
        <v>12_15T.L8.V</v>
      </c>
      <c r="AU236" s="18" t="s">
        <v>68</v>
      </c>
      <c r="AV236" s="18" t="s">
        <v>941</v>
      </c>
      <c r="AW236" s="20" t="s">
        <v>940</v>
      </c>
      <c r="AX236" s="228">
        <v>1220115</v>
      </c>
      <c r="AY236" s="229">
        <v>121</v>
      </c>
      <c r="BA236" s="91"/>
      <c r="CK236" s="160"/>
      <c r="CL236" s="18"/>
      <c r="CM236" s="18"/>
      <c r="CN236" s="18"/>
      <c r="CO236" s="23"/>
      <c r="CP236" s="226"/>
      <c r="CQ236" s="167"/>
      <c r="CR236" s="168"/>
      <c r="CS236" s="23"/>
      <c r="CT236" s="167"/>
      <c r="DJ236" s="232" t="s">
        <v>909</v>
      </c>
      <c r="DK236" s="234" t="s">
        <v>235</v>
      </c>
      <c r="DL236" s="234" t="s">
        <v>1195</v>
      </c>
      <c r="DM236" s="235">
        <v>44576</v>
      </c>
      <c r="DN236" s="236">
        <v>1120</v>
      </c>
      <c r="DO236" s="237">
        <v>525</v>
      </c>
      <c r="DP236" s="236">
        <v>729</v>
      </c>
      <c r="EF236" s="21"/>
      <c r="EG236" s="18"/>
      <c r="EH236" s="18"/>
      <c r="EI236" s="18"/>
      <c r="EX236" s="27"/>
      <c r="EY236" s="18"/>
      <c r="EZ236" s="20"/>
      <c r="FA236" s="18"/>
    </row>
    <row r="237" spans="46:157" x14ac:dyDescent="0.3">
      <c r="AT237" s="44" t="str">
        <f t="shared" si="118"/>
        <v>12_18B.L8.V</v>
      </c>
      <c r="AU237" s="18" t="s">
        <v>68</v>
      </c>
      <c r="AV237" s="18" t="s">
        <v>133</v>
      </c>
      <c r="AW237" s="20" t="s">
        <v>940</v>
      </c>
      <c r="AX237" s="228">
        <v>1220115</v>
      </c>
      <c r="AY237" s="229">
        <v>186</v>
      </c>
      <c r="BA237" s="91"/>
      <c r="CK237" s="160"/>
      <c r="CL237" s="18"/>
      <c r="CM237" s="18"/>
      <c r="CN237" s="18"/>
      <c r="CO237" s="23"/>
      <c r="CP237" s="226"/>
      <c r="CQ237" s="167"/>
      <c r="CR237" s="168"/>
      <c r="CS237" s="23"/>
      <c r="CT237" s="167"/>
      <c r="DJ237" s="232" t="s">
        <v>909</v>
      </c>
      <c r="DK237" s="234" t="s">
        <v>235</v>
      </c>
      <c r="DL237" s="234" t="s">
        <v>1196</v>
      </c>
      <c r="DM237" s="235">
        <v>44576</v>
      </c>
      <c r="DN237" s="236">
        <v>1120</v>
      </c>
      <c r="DO237" s="237">
        <v>420</v>
      </c>
      <c r="DP237" s="236">
        <v>729</v>
      </c>
      <c r="EF237" s="19"/>
      <c r="EG237" s="18"/>
      <c r="EH237" s="18"/>
      <c r="EI237" s="18"/>
      <c r="EX237" s="27"/>
      <c r="EY237" s="18"/>
      <c r="EZ237" s="20"/>
      <c r="FA237" s="18"/>
    </row>
    <row r="238" spans="46:157" x14ac:dyDescent="0.3">
      <c r="AT238" s="44" t="str">
        <f t="shared" si="118"/>
        <v>12_20B.L8.V</v>
      </c>
      <c r="AU238" s="18" t="s">
        <v>68</v>
      </c>
      <c r="AV238" s="18" t="s">
        <v>217</v>
      </c>
      <c r="AW238" s="20" t="s">
        <v>940</v>
      </c>
      <c r="AX238" s="228">
        <v>1220115</v>
      </c>
      <c r="AY238" s="229">
        <v>189</v>
      </c>
      <c r="BA238" s="91"/>
      <c r="CK238" s="160"/>
      <c r="CL238" s="18"/>
      <c r="CM238" s="18"/>
      <c r="CN238" s="18"/>
      <c r="CO238" s="23"/>
      <c r="CP238" s="226"/>
      <c r="CQ238" s="167"/>
      <c r="CR238" s="168"/>
      <c r="CS238" s="23"/>
      <c r="CT238" s="167"/>
      <c r="DJ238" s="232" t="s">
        <v>909</v>
      </c>
      <c r="DK238" s="234" t="s">
        <v>235</v>
      </c>
      <c r="DL238" s="234" t="s">
        <v>1197</v>
      </c>
      <c r="DM238" s="235">
        <v>44576</v>
      </c>
      <c r="DN238" s="236">
        <v>1120</v>
      </c>
      <c r="DO238" s="237">
        <v>420</v>
      </c>
      <c r="DP238" s="236">
        <v>729</v>
      </c>
      <c r="EF238" s="21"/>
      <c r="EG238" s="18"/>
      <c r="EH238" s="18"/>
      <c r="EI238" s="18"/>
      <c r="EX238" s="27"/>
      <c r="EY238" s="18"/>
      <c r="EZ238" s="20"/>
      <c r="FA238" s="18"/>
    </row>
    <row r="239" spans="46:157" x14ac:dyDescent="0.3">
      <c r="AT239" s="44" t="str">
        <f t="shared" si="118"/>
        <v>12_22B.L8.V</v>
      </c>
      <c r="AU239" s="18" t="s">
        <v>68</v>
      </c>
      <c r="AV239" s="18" t="s">
        <v>330</v>
      </c>
      <c r="AW239" s="20" t="s">
        <v>940</v>
      </c>
      <c r="AX239" s="228">
        <v>1220115</v>
      </c>
      <c r="AY239" s="229">
        <v>94</v>
      </c>
      <c r="BA239" s="91"/>
      <c r="CK239" s="160"/>
      <c r="CL239" s="18"/>
      <c r="CM239" s="18"/>
      <c r="CN239" s="18"/>
      <c r="CO239" s="23"/>
      <c r="CP239" s="226"/>
      <c r="CQ239" s="167"/>
      <c r="CR239" s="168"/>
      <c r="CS239" s="23"/>
      <c r="CT239" s="167"/>
      <c r="DJ239" s="232" t="s">
        <v>922</v>
      </c>
      <c r="DK239" s="234" t="s">
        <v>235</v>
      </c>
      <c r="DL239" s="234" t="s">
        <v>1195</v>
      </c>
      <c r="DM239" s="235">
        <v>44576</v>
      </c>
      <c r="DN239" s="236">
        <v>840</v>
      </c>
      <c r="DO239" s="237">
        <v>393.75</v>
      </c>
      <c r="DP239" s="236">
        <v>549</v>
      </c>
      <c r="EF239" s="21"/>
      <c r="EG239" s="18"/>
      <c r="EH239" s="18"/>
      <c r="EI239" s="18"/>
      <c r="EX239" s="27"/>
      <c r="EY239" s="18"/>
      <c r="EZ239" s="20"/>
      <c r="FA239" s="18"/>
    </row>
    <row r="240" spans="46:157" x14ac:dyDescent="0.3">
      <c r="AT240" s="44" t="str">
        <f t="shared" si="118"/>
        <v>12_24B.L8.V</v>
      </c>
      <c r="AU240" s="18" t="s">
        <v>68</v>
      </c>
      <c r="AV240" s="18" t="s">
        <v>413</v>
      </c>
      <c r="AW240" s="20" t="s">
        <v>940</v>
      </c>
      <c r="AX240" s="228">
        <v>1220115</v>
      </c>
      <c r="AY240" s="229">
        <v>94</v>
      </c>
      <c r="BA240" s="91"/>
      <c r="CK240" s="160"/>
      <c r="CL240" s="18"/>
      <c r="CM240" s="18"/>
      <c r="CN240" s="18"/>
      <c r="CO240" s="23"/>
      <c r="CP240" s="226"/>
      <c r="CQ240" s="167"/>
      <c r="CR240" s="168"/>
      <c r="CS240" s="23"/>
      <c r="CT240" s="167"/>
      <c r="DJ240" s="232" t="s">
        <v>922</v>
      </c>
      <c r="DK240" s="234" t="s">
        <v>235</v>
      </c>
      <c r="DL240" s="234" t="s">
        <v>1196</v>
      </c>
      <c r="DM240" s="235">
        <v>44576</v>
      </c>
      <c r="DN240" s="236">
        <v>840</v>
      </c>
      <c r="DO240" s="237">
        <v>315</v>
      </c>
      <c r="DP240" s="236">
        <v>549</v>
      </c>
      <c r="EF240" s="21"/>
      <c r="EG240" s="18"/>
      <c r="EH240" s="18"/>
      <c r="EI240" s="20"/>
      <c r="EX240" s="27"/>
      <c r="EY240" s="18"/>
      <c r="EZ240" s="20"/>
      <c r="FA240" s="18"/>
    </row>
    <row r="241" spans="46:157" x14ac:dyDescent="0.3">
      <c r="AT241" s="44" t="str">
        <f t="shared" si="118"/>
        <v>12_26B.L8.V</v>
      </c>
      <c r="AU241" s="18" t="s">
        <v>68</v>
      </c>
      <c r="AV241" s="18" t="s">
        <v>494</v>
      </c>
      <c r="AW241" s="20" t="s">
        <v>940</v>
      </c>
      <c r="AX241" s="228">
        <v>1220115</v>
      </c>
      <c r="AY241" s="229">
        <v>94</v>
      </c>
      <c r="BA241" s="91"/>
      <c r="CK241" s="160"/>
      <c r="CL241" s="18"/>
      <c r="CM241" s="18"/>
      <c r="CN241" s="18"/>
      <c r="CO241" s="23"/>
      <c r="CP241" s="226"/>
      <c r="CQ241" s="167"/>
      <c r="CR241" s="168"/>
      <c r="CS241" s="23"/>
      <c r="CT241" s="167"/>
      <c r="DJ241" s="232" t="s">
        <v>922</v>
      </c>
      <c r="DK241" s="234" t="s">
        <v>235</v>
      </c>
      <c r="DL241" s="234" t="s">
        <v>1197</v>
      </c>
      <c r="DM241" s="235">
        <v>44576</v>
      </c>
      <c r="DN241" s="236">
        <v>840</v>
      </c>
      <c r="DO241" s="237">
        <v>315</v>
      </c>
      <c r="DP241" s="236">
        <v>549</v>
      </c>
      <c r="EF241" s="19"/>
      <c r="EG241" s="18"/>
      <c r="EH241" s="18"/>
      <c r="EI241" s="18"/>
      <c r="EX241" s="27"/>
      <c r="EY241" s="18"/>
      <c r="EZ241" s="20"/>
      <c r="FA241" s="18"/>
    </row>
    <row r="242" spans="46:157" x14ac:dyDescent="0.3">
      <c r="AT242" s="44" t="str">
        <f t="shared" si="118"/>
        <v>13_14F.L8.V</v>
      </c>
      <c r="AU242" s="18" t="s">
        <v>68</v>
      </c>
      <c r="AV242" s="18" t="s">
        <v>602</v>
      </c>
      <c r="AW242" s="20" t="s">
        <v>940</v>
      </c>
      <c r="AX242" s="228">
        <v>1220115</v>
      </c>
      <c r="AY242" s="229">
        <v>121</v>
      </c>
      <c r="BA242" s="91"/>
      <c r="CK242" s="160"/>
      <c r="CL242" s="18"/>
      <c r="CM242" s="18"/>
      <c r="CN242" s="18"/>
      <c r="CO242" s="23"/>
      <c r="CP242" s="226"/>
      <c r="CQ242" s="167"/>
      <c r="CR242" s="168"/>
      <c r="CS242" s="23"/>
      <c r="CT242" s="167"/>
      <c r="DJ242" s="232" t="s">
        <v>896</v>
      </c>
      <c r="DK242" s="234" t="s">
        <v>235</v>
      </c>
      <c r="DL242" s="234" t="s">
        <v>1195</v>
      </c>
      <c r="DM242" s="235">
        <v>44576</v>
      </c>
      <c r="DN242" s="236">
        <v>880</v>
      </c>
      <c r="DO242" s="237">
        <v>412.5</v>
      </c>
      <c r="DP242" s="236">
        <v>569</v>
      </c>
      <c r="EF242" s="19"/>
      <c r="EG242" s="18"/>
      <c r="EH242" s="18"/>
      <c r="EI242" s="18"/>
      <c r="EX242" s="27"/>
      <c r="EY242" s="18"/>
      <c r="EZ242" s="20"/>
      <c r="FA242" s="18"/>
    </row>
    <row r="243" spans="46:157" x14ac:dyDescent="0.3">
      <c r="AT243" s="44" t="str">
        <f t="shared" si="118"/>
        <v>13_14T.L8.V</v>
      </c>
      <c r="AU243" s="18" t="s">
        <v>68</v>
      </c>
      <c r="AV243" s="18" t="s">
        <v>926</v>
      </c>
      <c r="AW243" s="20" t="s">
        <v>940</v>
      </c>
      <c r="AX243" s="228">
        <v>1220115</v>
      </c>
      <c r="AY243" s="229">
        <v>121</v>
      </c>
      <c r="BA243" s="91"/>
      <c r="CK243" s="160"/>
      <c r="CL243" s="18"/>
      <c r="CM243" s="18"/>
      <c r="CN243" s="18"/>
      <c r="CO243" s="23"/>
      <c r="CP243" s="226"/>
      <c r="CQ243" s="167"/>
      <c r="CR243" s="168"/>
      <c r="CS243" s="23"/>
      <c r="CT243" s="167"/>
      <c r="DJ243" s="232" t="s">
        <v>896</v>
      </c>
      <c r="DK243" s="234" t="s">
        <v>235</v>
      </c>
      <c r="DL243" s="234" t="s">
        <v>1196</v>
      </c>
      <c r="DM243" s="235">
        <v>44576</v>
      </c>
      <c r="DN243" s="236">
        <v>880</v>
      </c>
      <c r="DO243" s="237">
        <v>330</v>
      </c>
      <c r="DP243" s="236">
        <v>569</v>
      </c>
      <c r="EF243" s="19"/>
      <c r="EG243" s="18"/>
      <c r="EH243" s="18"/>
      <c r="EI243" s="20"/>
      <c r="EX243" s="27"/>
      <c r="EY243" s="18"/>
      <c r="EZ243" s="20"/>
      <c r="FA243" s="18"/>
    </row>
    <row r="244" spans="46:157" x14ac:dyDescent="0.3">
      <c r="AT244" s="44" t="str">
        <f t="shared" si="118"/>
        <v>13_15F.L8.V</v>
      </c>
      <c r="AU244" s="18" t="s">
        <v>68</v>
      </c>
      <c r="AV244" s="18" t="s">
        <v>630</v>
      </c>
      <c r="AW244" s="20" t="s">
        <v>940</v>
      </c>
      <c r="AX244" s="228">
        <v>1220115</v>
      </c>
      <c r="AY244" s="229">
        <v>121</v>
      </c>
      <c r="BA244" s="91"/>
      <c r="CK244" s="160"/>
      <c r="CL244" s="18"/>
      <c r="CM244" s="18"/>
      <c r="CN244" s="18"/>
      <c r="CO244" s="23"/>
      <c r="CP244" s="226"/>
      <c r="CQ244" s="167"/>
      <c r="CR244" s="168"/>
      <c r="CS244" s="23"/>
      <c r="CT244" s="167"/>
      <c r="DJ244" s="232" t="s">
        <v>896</v>
      </c>
      <c r="DK244" s="234" t="s">
        <v>235</v>
      </c>
      <c r="DL244" s="234" t="s">
        <v>1197</v>
      </c>
      <c r="DM244" s="235">
        <v>44576</v>
      </c>
      <c r="DN244" s="236">
        <v>880</v>
      </c>
      <c r="DO244" s="237">
        <v>330</v>
      </c>
      <c r="DP244" s="236">
        <v>569</v>
      </c>
      <c r="EF244" s="19"/>
      <c r="EG244" s="18"/>
      <c r="EH244" s="18"/>
      <c r="EI244" s="20"/>
      <c r="EX244" s="27"/>
      <c r="EY244" s="18"/>
      <c r="EZ244" s="20"/>
      <c r="FA244" s="18"/>
    </row>
    <row r="245" spans="46:157" x14ac:dyDescent="0.3">
      <c r="AT245" s="44" t="str">
        <f t="shared" si="118"/>
        <v>13_15T.L8.V</v>
      </c>
      <c r="AU245" s="18" t="s">
        <v>68</v>
      </c>
      <c r="AV245" s="18" t="s">
        <v>949</v>
      </c>
      <c r="AW245" s="20" t="s">
        <v>940</v>
      </c>
      <c r="AX245" s="228">
        <v>1220115</v>
      </c>
      <c r="AY245" s="229">
        <v>121</v>
      </c>
      <c r="BA245" s="91"/>
      <c r="CK245" s="160"/>
      <c r="CL245" s="18"/>
      <c r="CM245" s="18"/>
      <c r="CN245" s="18"/>
      <c r="CO245" s="23"/>
      <c r="CP245" s="226"/>
      <c r="CQ245" s="167"/>
      <c r="CR245" s="168"/>
      <c r="CS245" s="23"/>
      <c r="CT245" s="167"/>
      <c r="DJ245" s="232" t="s">
        <v>884</v>
      </c>
      <c r="DK245" s="234" t="s">
        <v>235</v>
      </c>
      <c r="DL245" s="234" t="s">
        <v>1195</v>
      </c>
      <c r="DM245" s="235">
        <v>44576</v>
      </c>
      <c r="DN245" s="236">
        <v>1840</v>
      </c>
      <c r="DO245" s="237">
        <v>862.5</v>
      </c>
      <c r="DP245" s="236">
        <v>1189</v>
      </c>
      <c r="EF245" s="21"/>
      <c r="EG245" s="18"/>
      <c r="EH245" s="18"/>
      <c r="EI245" s="18"/>
      <c r="EX245" s="27"/>
      <c r="EY245" s="18"/>
      <c r="EZ245" s="20"/>
      <c r="FA245" s="18"/>
    </row>
    <row r="246" spans="46:157" x14ac:dyDescent="0.3">
      <c r="AT246" s="44" t="str">
        <f t="shared" si="118"/>
        <v>13_16F.L8.V</v>
      </c>
      <c r="AU246" s="18" t="s">
        <v>68</v>
      </c>
      <c r="AV246" s="18" t="s">
        <v>665</v>
      </c>
      <c r="AW246" s="20" t="s">
        <v>940</v>
      </c>
      <c r="AX246" s="228">
        <v>1220115</v>
      </c>
      <c r="AY246" s="229">
        <v>243</v>
      </c>
      <c r="BA246" s="91"/>
      <c r="CK246" s="160"/>
      <c r="CL246" s="18"/>
      <c r="CM246" s="18"/>
      <c r="CN246" s="18"/>
      <c r="CO246" s="23"/>
      <c r="CP246" s="226"/>
      <c r="CQ246" s="167"/>
      <c r="CR246" s="168"/>
      <c r="CS246" s="23"/>
      <c r="CT246" s="167"/>
      <c r="DJ246" s="232" t="s">
        <v>884</v>
      </c>
      <c r="DK246" s="234" t="s">
        <v>235</v>
      </c>
      <c r="DL246" s="234" t="s">
        <v>1196</v>
      </c>
      <c r="DM246" s="235">
        <v>44576</v>
      </c>
      <c r="DN246" s="236">
        <v>1840</v>
      </c>
      <c r="DO246" s="237">
        <v>690</v>
      </c>
      <c r="DP246" s="236">
        <v>1189</v>
      </c>
      <c r="EF246" s="19"/>
      <c r="EG246" s="18"/>
      <c r="EH246" s="18"/>
      <c r="EI246" s="18"/>
      <c r="EX246" s="27"/>
      <c r="EY246" s="18"/>
      <c r="EZ246" s="20"/>
      <c r="FA246" s="18"/>
    </row>
    <row r="247" spans="46:157" x14ac:dyDescent="0.3">
      <c r="AT247" s="44" t="str">
        <f t="shared" si="118"/>
        <v>14_14F.L8.V</v>
      </c>
      <c r="AU247" s="18" t="s">
        <v>68</v>
      </c>
      <c r="AV247" s="18" t="s">
        <v>616</v>
      </c>
      <c r="AW247" s="20" t="s">
        <v>940</v>
      </c>
      <c r="AX247" s="228">
        <v>1220115</v>
      </c>
      <c r="AY247" s="229">
        <v>121</v>
      </c>
      <c r="BA247" s="91"/>
      <c r="CK247" s="160"/>
      <c r="CL247" s="18"/>
      <c r="CM247" s="18"/>
      <c r="CN247" s="18"/>
      <c r="CO247" s="23"/>
      <c r="CP247" s="226"/>
      <c r="CQ247" s="167"/>
      <c r="CR247" s="168"/>
      <c r="CS247" s="23"/>
      <c r="CT247" s="167"/>
      <c r="DJ247" s="232" t="s">
        <v>884</v>
      </c>
      <c r="DK247" s="234" t="s">
        <v>235</v>
      </c>
      <c r="DL247" s="234" t="s">
        <v>1197</v>
      </c>
      <c r="DM247" s="235">
        <v>44576</v>
      </c>
      <c r="DN247" s="236">
        <v>1840</v>
      </c>
      <c r="DO247" s="237">
        <v>690</v>
      </c>
      <c r="DP247" s="236">
        <v>1189</v>
      </c>
      <c r="EF247" s="19"/>
      <c r="EG247" s="18"/>
      <c r="EH247" s="18"/>
      <c r="EI247" s="18"/>
      <c r="EX247" s="27"/>
      <c r="EY247" s="18"/>
      <c r="EZ247" s="20"/>
      <c r="FA247" s="18"/>
    </row>
    <row r="248" spans="46:157" x14ac:dyDescent="0.3">
      <c r="AT248" s="44" t="str">
        <f t="shared" si="118"/>
        <v>14_14T.L8.V</v>
      </c>
      <c r="AU248" s="18" t="s">
        <v>68</v>
      </c>
      <c r="AV248" s="18" t="s">
        <v>933</v>
      </c>
      <c r="AW248" s="20" t="s">
        <v>940</v>
      </c>
      <c r="AX248" s="228">
        <v>1220115</v>
      </c>
      <c r="AY248" s="229">
        <v>121</v>
      </c>
      <c r="BA248" s="91"/>
      <c r="CK248" s="160"/>
      <c r="CL248" s="18"/>
      <c r="CM248" s="18"/>
      <c r="CN248" s="18"/>
      <c r="CO248" s="23"/>
      <c r="CP248" s="226"/>
      <c r="CQ248" s="167"/>
      <c r="CR248" s="168"/>
      <c r="CS248" s="23"/>
      <c r="CT248" s="167"/>
      <c r="DJ248" s="232" t="s">
        <v>910</v>
      </c>
      <c r="DK248" s="234" t="s">
        <v>235</v>
      </c>
      <c r="DL248" s="234" t="s">
        <v>1195</v>
      </c>
      <c r="DM248" s="235">
        <v>44576</v>
      </c>
      <c r="DN248" s="236">
        <v>1200</v>
      </c>
      <c r="DO248" s="237">
        <v>562.5</v>
      </c>
      <c r="DP248" s="236">
        <v>729</v>
      </c>
      <c r="EF248" s="21"/>
      <c r="EG248" s="18"/>
      <c r="EH248" s="18"/>
      <c r="EI248" s="18"/>
      <c r="EX248" s="27"/>
      <c r="EY248" s="18"/>
      <c r="EZ248" s="20"/>
      <c r="FA248" s="18"/>
    </row>
    <row r="249" spans="46:157" x14ac:dyDescent="0.3">
      <c r="AT249" s="44" t="str">
        <f t="shared" si="118"/>
        <v>14_15F.L8.V</v>
      </c>
      <c r="AU249" s="18" t="s">
        <v>68</v>
      </c>
      <c r="AV249" s="18" t="s">
        <v>647</v>
      </c>
      <c r="AW249" s="20" t="s">
        <v>940</v>
      </c>
      <c r="AX249" s="228">
        <v>1220115</v>
      </c>
      <c r="AY249" s="229">
        <v>121</v>
      </c>
      <c r="BA249" s="91"/>
      <c r="CK249" s="160"/>
      <c r="CL249" s="18"/>
      <c r="CM249" s="18"/>
      <c r="CN249" s="18"/>
      <c r="CO249" s="23"/>
      <c r="CP249" s="226"/>
      <c r="CQ249" s="167"/>
      <c r="CR249" s="168"/>
      <c r="CS249" s="23"/>
      <c r="CT249" s="167"/>
      <c r="DJ249" s="232" t="s">
        <v>910</v>
      </c>
      <c r="DK249" s="234" t="s">
        <v>235</v>
      </c>
      <c r="DL249" s="234" t="s">
        <v>1196</v>
      </c>
      <c r="DM249" s="235">
        <v>44576</v>
      </c>
      <c r="DN249" s="236">
        <v>1200</v>
      </c>
      <c r="DO249" s="237">
        <v>450</v>
      </c>
      <c r="DP249" s="236">
        <v>729</v>
      </c>
      <c r="EF249" s="21"/>
      <c r="EG249" s="18"/>
      <c r="EH249" s="18"/>
      <c r="EI249" s="18"/>
      <c r="EX249" s="27"/>
      <c r="EY249" s="18"/>
      <c r="EZ249" s="20"/>
      <c r="FA249" s="18"/>
    </row>
    <row r="250" spans="46:157" x14ac:dyDescent="0.3">
      <c r="AT250" s="44" t="str">
        <f t="shared" si="118"/>
        <v>14_15T.L8.V</v>
      </c>
      <c r="AU250" s="18" t="s">
        <v>68</v>
      </c>
      <c r="AV250" s="18" t="s">
        <v>956</v>
      </c>
      <c r="AW250" s="20" t="s">
        <v>940</v>
      </c>
      <c r="AX250" s="228">
        <v>1220115</v>
      </c>
      <c r="AY250" s="229">
        <v>121</v>
      </c>
      <c r="BA250" s="91"/>
      <c r="CK250" s="160"/>
      <c r="CL250" s="18"/>
      <c r="CM250" s="18"/>
      <c r="CN250" s="18"/>
      <c r="CO250" s="23"/>
      <c r="CP250" s="226"/>
      <c r="CQ250" s="167"/>
      <c r="CR250" s="168"/>
      <c r="CS250" s="23"/>
      <c r="CT250" s="167"/>
      <c r="DJ250" s="232" t="s">
        <v>910</v>
      </c>
      <c r="DK250" s="234" t="s">
        <v>235</v>
      </c>
      <c r="DL250" s="234" t="s">
        <v>1197</v>
      </c>
      <c r="DM250" s="235">
        <v>44576</v>
      </c>
      <c r="DN250" s="236">
        <v>1200</v>
      </c>
      <c r="DO250" s="237">
        <v>450</v>
      </c>
      <c r="DP250" s="236">
        <v>729</v>
      </c>
      <c r="EF250" s="19"/>
      <c r="EG250" s="18"/>
      <c r="EH250" s="18"/>
      <c r="EI250" s="18"/>
      <c r="EX250" s="27"/>
      <c r="EY250" s="18"/>
      <c r="EZ250" s="20"/>
      <c r="FA250" s="18"/>
    </row>
    <row r="251" spans="46:157" x14ac:dyDescent="0.3">
      <c r="AT251" s="44" t="str">
        <f t="shared" si="118"/>
        <v>14_16F.L8.V</v>
      </c>
      <c r="AU251" s="18" t="s">
        <v>68</v>
      </c>
      <c r="AV251" s="18" t="s">
        <v>681</v>
      </c>
      <c r="AW251" s="20" t="s">
        <v>940</v>
      </c>
      <c r="AX251" s="228">
        <v>1220115</v>
      </c>
      <c r="AY251" s="229">
        <v>243</v>
      </c>
      <c r="BA251" s="91"/>
      <c r="CK251" s="160"/>
      <c r="CL251" s="18"/>
      <c r="CM251" s="18"/>
      <c r="CN251" s="18"/>
      <c r="CO251" s="23"/>
      <c r="CP251" s="226"/>
      <c r="CQ251" s="167"/>
      <c r="CR251" s="168"/>
      <c r="CS251" s="23"/>
      <c r="CT251" s="167"/>
      <c r="DJ251" s="232" t="s">
        <v>923</v>
      </c>
      <c r="DK251" s="234" t="s">
        <v>235</v>
      </c>
      <c r="DL251" s="234" t="s">
        <v>1195</v>
      </c>
      <c r="DM251" s="235">
        <v>44576</v>
      </c>
      <c r="DN251" s="236">
        <v>840</v>
      </c>
      <c r="DO251" s="237">
        <v>393.75</v>
      </c>
      <c r="DP251" s="236">
        <v>549</v>
      </c>
      <c r="EF251" s="19"/>
      <c r="EG251" s="18"/>
      <c r="EH251" s="18"/>
      <c r="EI251" s="18"/>
      <c r="EX251" s="27"/>
      <c r="EY251" s="18"/>
      <c r="EZ251" s="20"/>
      <c r="FA251" s="18"/>
    </row>
    <row r="252" spans="46:157" x14ac:dyDescent="0.3">
      <c r="AT252" s="44" t="str">
        <f t="shared" si="118"/>
        <v>14_16T.L8.V</v>
      </c>
      <c r="AU252" s="18" t="s">
        <v>68</v>
      </c>
      <c r="AV252" s="18" t="s">
        <v>970</v>
      </c>
      <c r="AW252" s="20" t="s">
        <v>940</v>
      </c>
      <c r="AX252" s="228">
        <v>1220115</v>
      </c>
      <c r="AY252" s="229">
        <v>243</v>
      </c>
      <c r="BA252" s="91"/>
      <c r="CK252" s="160"/>
      <c r="CL252" s="18"/>
      <c r="CM252" s="18"/>
      <c r="CN252" s="18"/>
      <c r="CO252" s="23"/>
      <c r="CP252" s="226"/>
      <c r="CQ252" s="167"/>
      <c r="CR252" s="168"/>
      <c r="CS252" s="23"/>
      <c r="CT252" s="167"/>
      <c r="DJ252" s="232" t="s">
        <v>923</v>
      </c>
      <c r="DK252" s="234" t="s">
        <v>235</v>
      </c>
      <c r="DL252" s="234" t="s">
        <v>1196</v>
      </c>
      <c r="DM252" s="235">
        <v>44576</v>
      </c>
      <c r="DN252" s="236">
        <v>840</v>
      </c>
      <c r="DO252" s="237">
        <v>315</v>
      </c>
      <c r="DP252" s="236">
        <v>549</v>
      </c>
      <c r="EF252" s="19"/>
      <c r="EG252" s="18"/>
      <c r="EH252" s="18"/>
      <c r="EI252" s="18"/>
      <c r="EX252" s="27"/>
      <c r="EY252" s="18"/>
      <c r="EZ252" s="20"/>
      <c r="FA252" s="18"/>
    </row>
    <row r="253" spans="46:157" x14ac:dyDescent="0.3">
      <c r="AT253" s="44" t="str">
        <f t="shared" si="118"/>
        <v>14_18B.L8.V</v>
      </c>
      <c r="AU253" s="18" t="s">
        <v>68</v>
      </c>
      <c r="AV253" s="18" t="s">
        <v>160</v>
      </c>
      <c r="AW253" s="20" t="s">
        <v>940</v>
      </c>
      <c r="AX253" s="228">
        <v>1220115</v>
      </c>
      <c r="AY253" s="229">
        <v>186</v>
      </c>
      <c r="BA253" s="91"/>
      <c r="CK253" s="160"/>
      <c r="CL253" s="18"/>
      <c r="CM253" s="18"/>
      <c r="CN253" s="18"/>
      <c r="CO253" s="23"/>
      <c r="CP253" s="226"/>
      <c r="CQ253" s="167"/>
      <c r="CR253" s="168"/>
      <c r="CS253" s="23"/>
      <c r="CT253" s="167"/>
      <c r="DJ253" s="232" t="s">
        <v>923</v>
      </c>
      <c r="DK253" s="234" t="s">
        <v>235</v>
      </c>
      <c r="DL253" s="234" t="s">
        <v>1197</v>
      </c>
      <c r="DM253" s="235">
        <v>44576</v>
      </c>
      <c r="DN253" s="236">
        <v>840</v>
      </c>
      <c r="DO253" s="237">
        <v>315</v>
      </c>
      <c r="DP253" s="236">
        <v>549</v>
      </c>
      <c r="EF253" s="19"/>
      <c r="EG253" s="18"/>
      <c r="EH253" s="18"/>
      <c r="EI253" s="18"/>
      <c r="EX253" s="27"/>
      <c r="EY253" s="18"/>
      <c r="EZ253" s="20"/>
      <c r="FA253" s="18"/>
    </row>
    <row r="254" spans="46:157" x14ac:dyDescent="0.3">
      <c r="AT254" s="44" t="str">
        <f t="shared" si="118"/>
        <v>14_20B.L8.V</v>
      </c>
      <c r="AU254" s="18" t="s">
        <v>68</v>
      </c>
      <c r="AV254" s="18" t="s">
        <v>253</v>
      </c>
      <c r="AW254" s="20" t="s">
        <v>940</v>
      </c>
      <c r="AX254" s="228">
        <v>1220115</v>
      </c>
      <c r="AY254" s="229">
        <v>189</v>
      </c>
      <c r="BA254" s="91"/>
      <c r="CK254" s="160"/>
      <c r="CL254" s="18"/>
      <c r="CM254" s="18"/>
      <c r="CN254" s="18"/>
      <c r="CO254" s="23"/>
      <c r="CP254" s="226"/>
      <c r="CQ254" s="167"/>
      <c r="CR254" s="168"/>
      <c r="CS254" s="23"/>
      <c r="CT254" s="167"/>
      <c r="DJ254" s="232" t="s">
        <v>897</v>
      </c>
      <c r="DK254" s="234" t="s">
        <v>235</v>
      </c>
      <c r="DL254" s="234" t="s">
        <v>1195</v>
      </c>
      <c r="DM254" s="235">
        <v>44576</v>
      </c>
      <c r="DN254" s="236">
        <v>880</v>
      </c>
      <c r="DO254" s="237">
        <v>412.5</v>
      </c>
      <c r="DP254" s="236">
        <v>569</v>
      </c>
      <c r="EF254" s="19"/>
      <c r="EG254" s="18"/>
      <c r="EH254" s="18"/>
      <c r="EI254" s="18"/>
      <c r="EX254" s="27"/>
      <c r="EY254" s="18"/>
      <c r="EZ254" s="20"/>
      <c r="FA254" s="18"/>
    </row>
    <row r="255" spans="46:157" x14ac:dyDescent="0.3">
      <c r="AT255" s="44" t="str">
        <f t="shared" si="118"/>
        <v>14_22B.L8.V</v>
      </c>
      <c r="AU255" s="18" t="s">
        <v>68</v>
      </c>
      <c r="AV255" s="18" t="s">
        <v>346</v>
      </c>
      <c r="AW255" s="20" t="s">
        <v>940</v>
      </c>
      <c r="AX255" s="228">
        <v>1220115</v>
      </c>
      <c r="AY255" s="229">
        <v>94</v>
      </c>
      <c r="BA255" s="91"/>
      <c r="CK255" s="160"/>
      <c r="CL255" s="18"/>
      <c r="CM255" s="18"/>
      <c r="CN255" s="18"/>
      <c r="CO255" s="23"/>
      <c r="CP255" s="226"/>
      <c r="CQ255" s="167"/>
      <c r="CR255" s="168"/>
      <c r="CS255" s="23"/>
      <c r="CT255" s="167"/>
      <c r="DJ255" s="232" t="s">
        <v>897</v>
      </c>
      <c r="DK255" s="234" t="s">
        <v>235</v>
      </c>
      <c r="DL255" s="234" t="s">
        <v>1196</v>
      </c>
      <c r="DM255" s="235">
        <v>44576</v>
      </c>
      <c r="DN255" s="236">
        <v>880</v>
      </c>
      <c r="DO255" s="237">
        <v>330</v>
      </c>
      <c r="DP255" s="236">
        <v>569</v>
      </c>
      <c r="EF255" s="19"/>
      <c r="EG255" s="18"/>
      <c r="EH255" s="18"/>
      <c r="EI255" s="18"/>
      <c r="EX255" s="27"/>
      <c r="EY255" s="18"/>
      <c r="EZ255" s="20"/>
      <c r="FA255" s="18"/>
    </row>
    <row r="256" spans="46:157" x14ac:dyDescent="0.3">
      <c r="AT256" s="44" t="str">
        <f t="shared" si="118"/>
        <v>14_24B.L8.V</v>
      </c>
      <c r="AU256" s="18" t="s">
        <v>68</v>
      </c>
      <c r="AV256" s="18" t="s">
        <v>428</v>
      </c>
      <c r="AW256" s="20" t="s">
        <v>940</v>
      </c>
      <c r="AX256" s="228">
        <v>1220115</v>
      </c>
      <c r="AY256" s="229">
        <v>94</v>
      </c>
      <c r="BA256" s="91"/>
      <c r="CK256" s="160"/>
      <c r="CL256" s="18"/>
      <c r="CM256" s="18"/>
      <c r="CN256" s="18"/>
      <c r="CO256" s="23"/>
      <c r="CP256" s="226"/>
      <c r="CQ256" s="167"/>
      <c r="CR256" s="168"/>
      <c r="CS256" s="23"/>
      <c r="CT256" s="167"/>
      <c r="DJ256" s="232" t="s">
        <v>897</v>
      </c>
      <c r="DK256" s="234" t="s">
        <v>235</v>
      </c>
      <c r="DL256" s="234" t="s">
        <v>1197</v>
      </c>
      <c r="DM256" s="235">
        <v>44576</v>
      </c>
      <c r="DN256" s="236">
        <v>880</v>
      </c>
      <c r="DO256" s="237">
        <v>330</v>
      </c>
      <c r="DP256" s="236">
        <v>569</v>
      </c>
      <c r="EF256" s="19"/>
      <c r="EG256" s="18"/>
      <c r="EH256" s="18"/>
      <c r="EI256" s="18"/>
      <c r="EX256" s="27"/>
      <c r="EY256" s="18"/>
      <c r="EZ256" s="20"/>
      <c r="FA256" s="18"/>
    </row>
    <row r="257" spans="46:157" x14ac:dyDescent="0.3">
      <c r="AT257" s="44" t="str">
        <f t="shared" si="118"/>
        <v>14_26B.L8.V</v>
      </c>
      <c r="AU257" s="18" t="s">
        <v>68</v>
      </c>
      <c r="AV257" s="18" t="s">
        <v>512</v>
      </c>
      <c r="AW257" s="20" t="s">
        <v>940</v>
      </c>
      <c r="AX257" s="228">
        <v>1220115</v>
      </c>
      <c r="AY257" s="229">
        <v>94</v>
      </c>
      <c r="BA257" s="91"/>
      <c r="CK257" s="160"/>
      <c r="CL257" s="18"/>
      <c r="CM257" s="18"/>
      <c r="CN257" s="18"/>
      <c r="CO257" s="23"/>
      <c r="CP257" s="226"/>
      <c r="CQ257" s="167"/>
      <c r="CR257" s="168"/>
      <c r="CS257" s="23"/>
      <c r="CT257" s="167"/>
      <c r="DJ257" s="232" t="s">
        <v>885</v>
      </c>
      <c r="DK257" s="234" t="s">
        <v>235</v>
      </c>
      <c r="DL257" s="234" t="s">
        <v>1195</v>
      </c>
      <c r="DM257" s="235">
        <v>44576</v>
      </c>
      <c r="DN257" s="236">
        <v>2160</v>
      </c>
      <c r="DO257" s="237">
        <v>1012.5</v>
      </c>
      <c r="DP257" s="236">
        <v>1409</v>
      </c>
      <c r="EF257" s="19"/>
      <c r="EG257" s="18"/>
      <c r="EH257" s="18"/>
      <c r="EI257" s="18"/>
      <c r="EX257" s="27"/>
      <c r="EY257" s="18"/>
      <c r="EZ257" s="20"/>
      <c r="FA257" s="18"/>
    </row>
    <row r="258" spans="46:157" x14ac:dyDescent="0.3">
      <c r="AT258" s="44" t="str">
        <f t="shared" si="118"/>
        <v>15_16F.L8.V</v>
      </c>
      <c r="AU258" s="18" t="s">
        <v>68</v>
      </c>
      <c r="AV258" s="18" t="s">
        <v>698</v>
      </c>
      <c r="AW258" s="20" t="s">
        <v>940</v>
      </c>
      <c r="AX258" s="228">
        <v>1220115</v>
      </c>
      <c r="AY258" s="229">
        <v>243</v>
      </c>
      <c r="BA258" s="91"/>
      <c r="CK258" s="160"/>
      <c r="CL258" s="18"/>
      <c r="CM258" s="18"/>
      <c r="CN258" s="18"/>
      <c r="CO258" s="23"/>
      <c r="CP258" s="226"/>
      <c r="CQ258" s="167"/>
      <c r="CR258" s="168"/>
      <c r="CS258" s="23"/>
      <c r="CT258" s="167"/>
      <c r="DJ258" s="232" t="s">
        <v>885</v>
      </c>
      <c r="DK258" s="234" t="s">
        <v>235</v>
      </c>
      <c r="DL258" s="234" t="s">
        <v>1196</v>
      </c>
      <c r="DM258" s="235">
        <v>44576</v>
      </c>
      <c r="DN258" s="236">
        <v>2160</v>
      </c>
      <c r="DO258" s="237">
        <v>810</v>
      </c>
      <c r="DP258" s="236">
        <v>1409</v>
      </c>
      <c r="EF258" s="19"/>
      <c r="EG258" s="18"/>
      <c r="EH258" s="18"/>
      <c r="EI258" s="18"/>
      <c r="EX258" s="27"/>
      <c r="EY258" s="18"/>
      <c r="EZ258" s="20"/>
      <c r="FA258" s="18"/>
    </row>
    <row r="259" spans="46:157" x14ac:dyDescent="0.3">
      <c r="AT259" s="44" t="str">
        <f t="shared" si="118"/>
        <v>16_16F.L8.V</v>
      </c>
      <c r="AU259" s="18" t="s">
        <v>68</v>
      </c>
      <c r="AV259" s="18" t="s">
        <v>714</v>
      </c>
      <c r="AW259" s="20" t="s">
        <v>940</v>
      </c>
      <c r="AX259" s="228">
        <v>1220115</v>
      </c>
      <c r="AY259" s="229">
        <v>243</v>
      </c>
      <c r="BA259" s="91"/>
      <c r="CK259" s="160"/>
      <c r="CL259" s="18"/>
      <c r="CM259" s="18"/>
      <c r="CN259" s="18"/>
      <c r="CO259" s="23"/>
      <c r="CP259" s="226"/>
      <c r="CQ259" s="167"/>
      <c r="CR259" s="168"/>
      <c r="CS259" s="23"/>
      <c r="CT259" s="167"/>
      <c r="DJ259" s="232" t="s">
        <v>885</v>
      </c>
      <c r="DK259" s="234" t="s">
        <v>235</v>
      </c>
      <c r="DL259" s="234" t="s">
        <v>1197</v>
      </c>
      <c r="DM259" s="235">
        <v>44576</v>
      </c>
      <c r="DN259" s="236">
        <v>2160</v>
      </c>
      <c r="DO259" s="237">
        <v>810</v>
      </c>
      <c r="DP259" s="236">
        <v>1409</v>
      </c>
      <c r="EF259" s="19"/>
      <c r="EG259" s="18"/>
      <c r="EH259" s="18"/>
      <c r="EI259" s="18"/>
      <c r="EX259" s="27"/>
      <c r="EY259" s="18"/>
      <c r="EZ259" s="20"/>
      <c r="FA259" s="18"/>
    </row>
    <row r="260" spans="46:157" x14ac:dyDescent="0.3">
      <c r="AT260" s="44" t="str">
        <f t="shared" si="118"/>
        <v>16_16T.L8.V</v>
      </c>
      <c r="AU260" s="18" t="s">
        <v>68</v>
      </c>
      <c r="AV260" s="18" t="s">
        <v>985</v>
      </c>
      <c r="AW260" s="20" t="s">
        <v>940</v>
      </c>
      <c r="AX260" s="228">
        <v>1220115</v>
      </c>
      <c r="AY260" s="229">
        <v>243</v>
      </c>
      <c r="BA260" s="91"/>
      <c r="CK260" s="160"/>
      <c r="CL260" s="18"/>
      <c r="CM260" s="18"/>
      <c r="CN260" s="18"/>
      <c r="CO260" s="23"/>
      <c r="CP260" s="226"/>
      <c r="CQ260" s="167"/>
      <c r="CR260" s="168"/>
      <c r="CS260" s="23"/>
      <c r="CT260" s="167"/>
      <c r="DJ260" s="232" t="s">
        <v>911</v>
      </c>
      <c r="DK260" s="234" t="s">
        <v>235</v>
      </c>
      <c r="DL260" s="234" t="s">
        <v>1195</v>
      </c>
      <c r="DM260" s="235">
        <v>44576</v>
      </c>
      <c r="DN260" s="236">
        <v>2000</v>
      </c>
      <c r="DO260" s="237">
        <v>937.5</v>
      </c>
      <c r="DP260" s="236">
        <v>1329</v>
      </c>
      <c r="EF260" s="19"/>
      <c r="EG260" s="18"/>
      <c r="EH260" s="18"/>
      <c r="EI260" s="18"/>
      <c r="EX260" s="27"/>
      <c r="EY260" s="18"/>
      <c r="EZ260" s="20"/>
      <c r="FA260" s="18"/>
    </row>
    <row r="261" spans="46:157" x14ac:dyDescent="0.3">
      <c r="AT261" s="44" t="str">
        <f t="shared" si="118"/>
        <v>16_18B.L8.V</v>
      </c>
      <c r="AU261" s="18" t="s">
        <v>68</v>
      </c>
      <c r="AV261" s="18" t="s">
        <v>186</v>
      </c>
      <c r="AW261" s="20" t="s">
        <v>940</v>
      </c>
      <c r="AX261" s="228">
        <v>1220115</v>
      </c>
      <c r="AY261" s="229">
        <v>186</v>
      </c>
      <c r="BA261" s="91"/>
      <c r="CK261" s="160"/>
      <c r="CL261" s="18"/>
      <c r="CM261" s="18"/>
      <c r="CN261" s="18"/>
      <c r="CO261" s="23"/>
      <c r="CP261" s="226"/>
      <c r="CQ261" s="167"/>
      <c r="CR261" s="168"/>
      <c r="CS261" s="23"/>
      <c r="CT261" s="167"/>
      <c r="DJ261" s="232" t="s">
        <v>911</v>
      </c>
      <c r="DK261" s="234" t="s">
        <v>235</v>
      </c>
      <c r="DL261" s="234" t="s">
        <v>1196</v>
      </c>
      <c r="DM261" s="235">
        <v>44576</v>
      </c>
      <c r="DN261" s="236">
        <v>2000</v>
      </c>
      <c r="DO261" s="237">
        <v>750</v>
      </c>
      <c r="DP261" s="236">
        <v>1329</v>
      </c>
      <c r="EF261" s="19"/>
      <c r="EG261" s="18"/>
      <c r="EH261" s="18"/>
      <c r="EI261" s="18"/>
      <c r="EX261" s="27"/>
      <c r="EY261" s="18"/>
      <c r="EZ261" s="20"/>
      <c r="FA261" s="18"/>
    </row>
    <row r="262" spans="46:157" x14ac:dyDescent="0.3">
      <c r="AT262" s="44" t="str">
        <f t="shared" si="118"/>
        <v>16_18F.L8.V</v>
      </c>
      <c r="AU262" s="18" t="s">
        <v>68</v>
      </c>
      <c r="AV262" s="18" t="s">
        <v>726</v>
      </c>
      <c r="AW262" s="20" t="s">
        <v>940</v>
      </c>
      <c r="AX262" s="228">
        <v>1220115</v>
      </c>
      <c r="AY262" s="229">
        <v>186</v>
      </c>
      <c r="BA262" s="91"/>
      <c r="CK262" s="160"/>
      <c r="CL262" s="18"/>
      <c r="CM262" s="18"/>
      <c r="CN262" s="18"/>
      <c r="CO262" s="23"/>
      <c r="CP262" s="226"/>
      <c r="CQ262" s="167"/>
      <c r="CR262" s="168"/>
      <c r="CS262" s="23"/>
      <c r="CT262" s="167"/>
      <c r="DJ262" s="232" t="s">
        <v>911</v>
      </c>
      <c r="DK262" s="234" t="s">
        <v>235</v>
      </c>
      <c r="DL262" s="234" t="s">
        <v>1197</v>
      </c>
      <c r="DM262" s="235">
        <v>44576</v>
      </c>
      <c r="DN262" s="236">
        <v>2000</v>
      </c>
      <c r="DO262" s="237">
        <v>750</v>
      </c>
      <c r="DP262" s="236">
        <v>1329</v>
      </c>
      <c r="EF262" s="19"/>
      <c r="EG262" s="18"/>
      <c r="EH262" s="18"/>
      <c r="EI262" s="18"/>
      <c r="EX262" s="27"/>
      <c r="EY262" s="18"/>
      <c r="EZ262" s="20"/>
      <c r="FA262" s="18"/>
    </row>
    <row r="263" spans="46:157" x14ac:dyDescent="0.3">
      <c r="AT263" s="44" t="str">
        <f t="shared" si="118"/>
        <v>16_18T.L8.V</v>
      </c>
      <c r="AU263" s="18" t="s">
        <v>68</v>
      </c>
      <c r="AV263" s="18" t="s">
        <v>1174</v>
      </c>
      <c r="AW263" s="20" t="s">
        <v>940</v>
      </c>
      <c r="AX263" s="228">
        <v>1220115</v>
      </c>
      <c r="AY263" s="229">
        <v>186</v>
      </c>
      <c r="BA263" s="91"/>
      <c r="CK263" s="160"/>
      <c r="CL263" s="18"/>
      <c r="CM263" s="18"/>
      <c r="CN263" s="18"/>
      <c r="CO263" s="23"/>
      <c r="CP263" s="226"/>
      <c r="CQ263" s="167"/>
      <c r="CR263" s="168"/>
      <c r="CS263" s="23"/>
      <c r="CT263" s="167"/>
      <c r="DJ263" s="232" t="s">
        <v>1186</v>
      </c>
      <c r="DK263" s="234" t="s">
        <v>235</v>
      </c>
      <c r="DL263" s="234" t="s">
        <v>1195</v>
      </c>
      <c r="DM263" s="235">
        <v>44576</v>
      </c>
      <c r="DN263" s="236">
        <v>1400</v>
      </c>
      <c r="DO263" s="237">
        <v>656.25</v>
      </c>
      <c r="DP263" s="236">
        <v>919</v>
      </c>
      <c r="EF263" s="19"/>
      <c r="EG263" s="18"/>
      <c r="EH263" s="18"/>
      <c r="EI263" s="18"/>
      <c r="EX263" s="27"/>
      <c r="EY263" s="18"/>
      <c r="EZ263" s="20"/>
      <c r="FA263" s="18"/>
    </row>
    <row r="264" spans="46:157" x14ac:dyDescent="0.3">
      <c r="AT264" s="44" t="str">
        <f t="shared" si="118"/>
        <v>16_20B.L8.V</v>
      </c>
      <c r="AU264" s="18" t="s">
        <v>68</v>
      </c>
      <c r="AV264" s="18" t="s">
        <v>293</v>
      </c>
      <c r="AW264" s="20" t="s">
        <v>940</v>
      </c>
      <c r="AX264" s="228">
        <v>1220115</v>
      </c>
      <c r="AY264" s="229">
        <v>189</v>
      </c>
      <c r="BA264" s="91"/>
      <c r="CK264" s="160"/>
      <c r="CL264" s="18"/>
      <c r="CM264" s="18"/>
      <c r="CN264" s="18"/>
      <c r="CO264" s="23"/>
      <c r="CP264" s="226"/>
      <c r="CQ264" s="167"/>
      <c r="CR264" s="168"/>
      <c r="CS264" s="23"/>
      <c r="CT264" s="167"/>
      <c r="DJ264" s="232" t="s">
        <v>1186</v>
      </c>
      <c r="DK264" s="234" t="s">
        <v>235</v>
      </c>
      <c r="DL264" s="234" t="s">
        <v>1196</v>
      </c>
      <c r="DM264" s="235">
        <v>44576</v>
      </c>
      <c r="DN264" s="236">
        <v>1400</v>
      </c>
      <c r="DO264" s="237">
        <v>525</v>
      </c>
      <c r="DP264" s="236">
        <v>919</v>
      </c>
      <c r="EF264" s="19"/>
      <c r="EG264" s="18"/>
      <c r="EH264" s="18"/>
      <c r="EI264" s="18"/>
      <c r="EX264" s="27"/>
      <c r="EY264" s="18"/>
      <c r="EZ264" s="20"/>
      <c r="FA264" s="18"/>
    </row>
    <row r="265" spans="46:157" x14ac:dyDescent="0.3">
      <c r="AT265" s="44" t="str">
        <f t="shared" si="118"/>
        <v>16_22B.L8.V</v>
      </c>
      <c r="AU265" s="18" t="s">
        <v>68</v>
      </c>
      <c r="AV265" s="18" t="s">
        <v>365</v>
      </c>
      <c r="AW265" s="20" t="s">
        <v>940</v>
      </c>
      <c r="AX265" s="228">
        <v>1220115</v>
      </c>
      <c r="AY265" s="229">
        <v>94</v>
      </c>
      <c r="BA265" s="91"/>
      <c r="CK265" s="160"/>
      <c r="CL265" s="18"/>
      <c r="CM265" s="18"/>
      <c r="CN265" s="18"/>
      <c r="CO265" s="23"/>
      <c r="CP265" s="226"/>
      <c r="CQ265" s="167"/>
      <c r="CR265" s="168"/>
      <c r="CS265" s="23"/>
      <c r="CT265" s="167"/>
      <c r="DJ265" s="232" t="s">
        <v>1186</v>
      </c>
      <c r="DK265" s="234" t="s">
        <v>235</v>
      </c>
      <c r="DL265" s="234" t="s">
        <v>1197</v>
      </c>
      <c r="DM265" s="235">
        <v>44576</v>
      </c>
      <c r="DN265" s="236">
        <v>1400</v>
      </c>
      <c r="DO265" s="237">
        <v>525</v>
      </c>
      <c r="DP265" s="236">
        <v>919</v>
      </c>
      <c r="EF265" s="19"/>
      <c r="EG265" s="18"/>
      <c r="EH265" s="18"/>
      <c r="EI265" s="18"/>
      <c r="EX265" s="27"/>
      <c r="EY265" s="18"/>
      <c r="EZ265" s="20"/>
      <c r="FA265" s="18"/>
    </row>
    <row r="266" spans="46:157" x14ac:dyDescent="0.3">
      <c r="AT266" s="44" t="str">
        <f t="shared" si="118"/>
        <v>16_24B.L8.V</v>
      </c>
      <c r="AU266" s="18" t="s">
        <v>68</v>
      </c>
      <c r="AV266" s="18" t="s">
        <v>444</v>
      </c>
      <c r="AW266" s="20" t="s">
        <v>940</v>
      </c>
      <c r="AX266" s="228">
        <v>1220115</v>
      </c>
      <c r="AY266" s="229">
        <v>94</v>
      </c>
      <c r="BA266" s="91"/>
      <c r="CK266" s="160"/>
      <c r="CL266" s="18"/>
      <c r="CM266" s="18"/>
      <c r="CN266" s="18"/>
      <c r="CO266" s="23"/>
      <c r="CP266" s="226"/>
      <c r="CQ266" s="167"/>
      <c r="CR266" s="168"/>
      <c r="CS266" s="23"/>
      <c r="CT266" s="167"/>
      <c r="DJ266" s="232" t="s">
        <v>924</v>
      </c>
      <c r="DK266" s="234" t="s">
        <v>235</v>
      </c>
      <c r="DL266" s="234" t="s">
        <v>1195</v>
      </c>
      <c r="DM266" s="235">
        <v>44576</v>
      </c>
      <c r="DN266" s="236">
        <v>1304</v>
      </c>
      <c r="DO266" s="237">
        <v>611.25</v>
      </c>
      <c r="DP266" s="236">
        <v>849</v>
      </c>
      <c r="EF266" s="19"/>
      <c r="EG266" s="18"/>
      <c r="EH266" s="18"/>
      <c r="EI266" s="18"/>
      <c r="EX266" s="27"/>
      <c r="EY266" s="18"/>
      <c r="EZ266" s="20"/>
      <c r="FA266" s="18"/>
    </row>
    <row r="267" spans="46:157" x14ac:dyDescent="0.3">
      <c r="AT267" s="44" t="str">
        <f t="shared" si="118"/>
        <v>16_26B.L8.V</v>
      </c>
      <c r="AU267" s="18" t="s">
        <v>68</v>
      </c>
      <c r="AV267" s="18" t="s">
        <v>532</v>
      </c>
      <c r="AW267" s="20" t="s">
        <v>940</v>
      </c>
      <c r="AX267" s="228">
        <v>1220115</v>
      </c>
      <c r="AY267" s="229">
        <v>94</v>
      </c>
      <c r="BA267" s="91"/>
      <c r="CK267" s="160"/>
      <c r="CL267" s="18"/>
      <c r="CM267" s="18"/>
      <c r="CN267" s="18"/>
      <c r="CO267" s="23"/>
      <c r="CP267" s="226"/>
      <c r="CQ267" s="167"/>
      <c r="CR267" s="168"/>
      <c r="CS267" s="23"/>
      <c r="CT267" s="167"/>
      <c r="DJ267" s="232" t="s">
        <v>924</v>
      </c>
      <c r="DK267" s="234" t="s">
        <v>235</v>
      </c>
      <c r="DL267" s="234" t="s">
        <v>1196</v>
      </c>
      <c r="DM267" s="235">
        <v>44576</v>
      </c>
      <c r="DN267" s="236">
        <v>1304</v>
      </c>
      <c r="DO267" s="237">
        <v>489</v>
      </c>
      <c r="DP267" s="236">
        <v>849</v>
      </c>
      <c r="EF267" s="19"/>
      <c r="EG267" s="18"/>
      <c r="EH267" s="18"/>
      <c r="EI267" s="19"/>
      <c r="EX267" s="27"/>
      <c r="EY267" s="18"/>
      <c r="EZ267" s="20"/>
      <c r="FA267" s="18"/>
    </row>
    <row r="268" spans="46:157" x14ac:dyDescent="0.3">
      <c r="AT268" s="44" t="str">
        <f t="shared" si="118"/>
        <v>18_20B.L8.V</v>
      </c>
      <c r="AU268" s="18" t="s">
        <v>68</v>
      </c>
      <c r="AV268" s="18" t="s">
        <v>312</v>
      </c>
      <c r="AW268" s="20" t="s">
        <v>940</v>
      </c>
      <c r="AX268" s="228">
        <v>1220115</v>
      </c>
      <c r="AY268" s="229">
        <v>189</v>
      </c>
      <c r="BA268" s="91"/>
      <c r="CK268" s="160"/>
      <c r="CL268" s="18"/>
      <c r="CM268" s="18"/>
      <c r="CN268" s="18"/>
      <c r="CO268" s="23"/>
      <c r="CP268" s="226"/>
      <c r="CQ268" s="167"/>
      <c r="CR268" s="168"/>
      <c r="CS268" s="23"/>
      <c r="CT268" s="167"/>
      <c r="DJ268" s="232" t="s">
        <v>924</v>
      </c>
      <c r="DK268" s="234" t="s">
        <v>235</v>
      </c>
      <c r="DL268" s="234" t="s">
        <v>1197</v>
      </c>
      <c r="DM268" s="235">
        <v>44576</v>
      </c>
      <c r="DN268" s="236">
        <v>1304</v>
      </c>
      <c r="DO268" s="237">
        <v>489</v>
      </c>
      <c r="DP268" s="236">
        <v>849</v>
      </c>
      <c r="EF268" s="19"/>
      <c r="EG268" s="18"/>
      <c r="EH268" s="18"/>
      <c r="EI268" s="18"/>
      <c r="EX268" s="27"/>
      <c r="EY268" s="18"/>
      <c r="EZ268" s="20"/>
      <c r="FA268" s="18"/>
    </row>
    <row r="269" spans="46:157" x14ac:dyDescent="0.3">
      <c r="AT269" s="44" t="str">
        <f t="shared" si="118"/>
        <v>18_22B.L8.V</v>
      </c>
      <c r="AU269" s="18" t="s">
        <v>68</v>
      </c>
      <c r="AV269" s="18" t="s">
        <v>382</v>
      </c>
      <c r="AW269" s="20" t="s">
        <v>940</v>
      </c>
      <c r="AX269" s="228">
        <v>1220115</v>
      </c>
      <c r="AY269" s="229">
        <v>94</v>
      </c>
      <c r="BA269" s="91"/>
      <c r="CK269" s="160"/>
      <c r="CL269" s="18"/>
      <c r="CM269" s="18"/>
      <c r="CN269" s="18"/>
      <c r="CO269" s="23"/>
      <c r="CP269" s="226"/>
      <c r="CQ269" s="167"/>
      <c r="CR269" s="168"/>
      <c r="CS269" s="23"/>
      <c r="CT269" s="167"/>
      <c r="DJ269" s="232" t="s">
        <v>898</v>
      </c>
      <c r="DK269" s="234" t="s">
        <v>235</v>
      </c>
      <c r="DL269" s="234" t="s">
        <v>1195</v>
      </c>
      <c r="DM269" s="235">
        <v>44576</v>
      </c>
      <c r="DN269" s="236">
        <v>1944</v>
      </c>
      <c r="DO269" s="237">
        <v>911.25</v>
      </c>
      <c r="DP269" s="236">
        <v>1259</v>
      </c>
      <c r="EF269" s="19"/>
      <c r="EG269" s="18"/>
      <c r="EH269" s="18"/>
      <c r="EI269" s="18"/>
      <c r="EX269" s="27"/>
      <c r="EY269" s="18"/>
      <c r="EZ269" s="20"/>
      <c r="FA269" s="18"/>
    </row>
    <row r="270" spans="46:157" x14ac:dyDescent="0.3">
      <c r="AT270" s="44" t="str">
        <f t="shared" si="118"/>
        <v>18_24B.L8.V</v>
      </c>
      <c r="AU270" s="18" t="s">
        <v>68</v>
      </c>
      <c r="AV270" s="18" t="s">
        <v>461</v>
      </c>
      <c r="AW270" s="20" t="s">
        <v>940</v>
      </c>
      <c r="AX270" s="228">
        <v>1220115</v>
      </c>
      <c r="AY270" s="229">
        <v>94</v>
      </c>
      <c r="BA270" s="91"/>
      <c r="CK270" s="160"/>
      <c r="CL270" s="18"/>
      <c r="CM270" s="18"/>
      <c r="CN270" s="18"/>
      <c r="CO270" s="23"/>
      <c r="CP270" s="226"/>
      <c r="CQ270" s="167"/>
      <c r="CR270" s="168"/>
      <c r="CS270" s="23"/>
      <c r="CT270" s="167"/>
      <c r="DJ270" s="232" t="s">
        <v>898</v>
      </c>
      <c r="DK270" s="234" t="s">
        <v>235</v>
      </c>
      <c r="DL270" s="234" t="s">
        <v>1196</v>
      </c>
      <c r="DM270" s="235">
        <v>44576</v>
      </c>
      <c r="DN270" s="236">
        <v>1944</v>
      </c>
      <c r="DO270" s="237">
        <v>729</v>
      </c>
      <c r="DP270" s="236">
        <v>1259</v>
      </c>
      <c r="EF270" s="19"/>
      <c r="EG270" s="18"/>
      <c r="EH270" s="18"/>
      <c r="EI270" s="18"/>
      <c r="EX270" s="27"/>
      <c r="EY270" s="18"/>
      <c r="EZ270" s="20"/>
      <c r="FA270" s="18"/>
    </row>
    <row r="271" spans="46:157" x14ac:dyDescent="0.3">
      <c r="AT271" s="44" t="str">
        <f t="shared" si="118"/>
        <v>20_22B.L8.V</v>
      </c>
      <c r="AU271" s="18" t="s">
        <v>68</v>
      </c>
      <c r="AV271" s="18" t="s">
        <v>400</v>
      </c>
      <c r="AW271" s="20" t="s">
        <v>940</v>
      </c>
      <c r="AX271" s="228">
        <v>1220115</v>
      </c>
      <c r="AY271" s="229">
        <v>94</v>
      </c>
      <c r="BA271" s="91"/>
      <c r="CK271" s="160"/>
      <c r="CL271" s="18"/>
      <c r="CM271" s="18"/>
      <c r="CN271" s="18"/>
      <c r="CO271" s="23"/>
      <c r="CP271" s="226"/>
      <c r="CQ271" s="167"/>
      <c r="CR271" s="168"/>
      <c r="CS271" s="23"/>
      <c r="CT271" s="167"/>
      <c r="DJ271" s="232" t="s">
        <v>898</v>
      </c>
      <c r="DK271" s="234" t="s">
        <v>235</v>
      </c>
      <c r="DL271" s="234" t="s">
        <v>1197</v>
      </c>
      <c r="DM271" s="235">
        <v>44576</v>
      </c>
      <c r="DN271" s="236">
        <v>1944</v>
      </c>
      <c r="DO271" s="237">
        <v>729</v>
      </c>
      <c r="DP271" s="236">
        <v>1259</v>
      </c>
      <c r="EF271" s="19"/>
      <c r="EG271" s="18"/>
      <c r="EH271" s="18"/>
      <c r="EI271" s="18"/>
      <c r="EX271" s="27"/>
      <c r="EY271" s="18"/>
      <c r="EZ271" s="20"/>
      <c r="FA271" s="18"/>
    </row>
    <row r="272" spans="46:157" x14ac:dyDescent="0.3">
      <c r="AT272" s="44" t="str">
        <f t="shared" si="118"/>
        <v>20_24B.L8.V</v>
      </c>
      <c r="AU272" s="18" t="s">
        <v>68</v>
      </c>
      <c r="AV272" s="18" t="s">
        <v>479</v>
      </c>
      <c r="AW272" s="20" t="s">
        <v>940</v>
      </c>
      <c r="AX272" s="228">
        <v>1220115</v>
      </c>
      <c r="AY272" s="229">
        <v>94</v>
      </c>
      <c r="BA272" s="91"/>
      <c r="CK272" s="160"/>
      <c r="CL272" s="18"/>
      <c r="CM272" s="18"/>
      <c r="CN272" s="18"/>
      <c r="CO272" s="23"/>
      <c r="CP272" s="226"/>
      <c r="CQ272" s="167"/>
      <c r="CR272" s="168"/>
      <c r="CS272" s="23"/>
      <c r="CT272" s="167"/>
      <c r="DJ272" s="232" t="s">
        <v>882</v>
      </c>
      <c r="DK272" s="234" t="s">
        <v>235</v>
      </c>
      <c r="DL272" s="234" t="s">
        <v>1195</v>
      </c>
      <c r="DM272" s="235">
        <v>44576</v>
      </c>
      <c r="DN272" s="236">
        <v>1538</v>
      </c>
      <c r="DO272" s="237">
        <v>720.94</v>
      </c>
      <c r="DP272" s="236">
        <v>1000</v>
      </c>
      <c r="EF272" s="19"/>
      <c r="EG272" s="18"/>
      <c r="EH272" s="18"/>
      <c r="EI272" s="18"/>
      <c r="EX272" s="27"/>
      <c r="EY272" s="18"/>
      <c r="EZ272" s="20"/>
      <c r="FA272" s="18"/>
    </row>
    <row r="273" spans="46:157" x14ac:dyDescent="0.3">
      <c r="AT273" s="44" t="str">
        <f t="shared" si="118"/>
        <v>3H_13S.L8.V</v>
      </c>
      <c r="AU273" s="18" t="s">
        <v>68</v>
      </c>
      <c r="AV273" s="18" t="s">
        <v>1001</v>
      </c>
      <c r="AW273" s="20" t="s">
        <v>940</v>
      </c>
      <c r="AX273" s="228">
        <v>1220115</v>
      </c>
      <c r="AY273" s="229">
        <v>256</v>
      </c>
      <c r="BA273" s="91"/>
      <c r="CK273" s="160"/>
      <c r="CL273" s="18"/>
      <c r="CM273" s="18"/>
      <c r="CN273" s="18"/>
      <c r="CO273" s="23"/>
      <c r="CP273" s="226"/>
      <c r="CQ273" s="167"/>
      <c r="CR273" s="168"/>
      <c r="CS273" s="23"/>
      <c r="CT273" s="167"/>
      <c r="DJ273" s="232" t="s">
        <v>882</v>
      </c>
      <c r="DK273" s="234" t="s">
        <v>235</v>
      </c>
      <c r="DL273" s="234" t="s">
        <v>1196</v>
      </c>
      <c r="DM273" s="235">
        <v>44576</v>
      </c>
      <c r="DN273" s="236">
        <v>1538</v>
      </c>
      <c r="DO273" s="237">
        <v>576.75</v>
      </c>
      <c r="DP273" s="236">
        <v>1000</v>
      </c>
      <c r="EF273" s="19"/>
      <c r="EG273" s="18"/>
      <c r="EH273" s="18"/>
      <c r="EI273" s="18"/>
      <c r="EX273" s="27"/>
      <c r="EY273" s="18"/>
      <c r="EZ273" s="20"/>
      <c r="FA273" s="18"/>
    </row>
    <row r="274" spans="46:157" x14ac:dyDescent="0.3">
      <c r="AT274" s="44" t="str">
        <f t="shared" si="118"/>
        <v>4_14S.L8.V</v>
      </c>
      <c r="AU274" s="18" t="s">
        <v>68</v>
      </c>
      <c r="AV274" s="18" t="s">
        <v>1017</v>
      </c>
      <c r="AW274" s="20" t="s">
        <v>940</v>
      </c>
      <c r="AX274" s="228">
        <v>1220115</v>
      </c>
      <c r="AY274" s="229">
        <v>223</v>
      </c>
      <c r="BA274" s="91"/>
      <c r="CK274" s="160"/>
      <c r="CL274" s="18"/>
      <c r="CM274" s="18"/>
      <c r="CN274" s="18"/>
      <c r="CO274" s="23"/>
      <c r="CP274" s="226"/>
      <c r="CQ274" s="167"/>
      <c r="CR274" s="168"/>
      <c r="CS274" s="23"/>
      <c r="CT274" s="167"/>
      <c r="DJ274" s="232" t="s">
        <v>882</v>
      </c>
      <c r="DK274" s="234" t="s">
        <v>235</v>
      </c>
      <c r="DL274" s="234" t="s">
        <v>1197</v>
      </c>
      <c r="DM274" s="235">
        <v>44576</v>
      </c>
      <c r="DN274" s="236">
        <v>1538</v>
      </c>
      <c r="DO274" s="237">
        <v>576.75</v>
      </c>
      <c r="DP274" s="236">
        <v>1000</v>
      </c>
      <c r="EF274" s="19"/>
      <c r="EG274" s="18"/>
      <c r="EH274" s="18"/>
      <c r="EI274" s="18"/>
      <c r="EX274" s="27"/>
      <c r="EY274" s="18"/>
      <c r="EZ274" s="20"/>
      <c r="FA274" s="18"/>
    </row>
    <row r="275" spans="46:157" x14ac:dyDescent="0.3">
      <c r="AT275" s="44" t="str">
        <f t="shared" ref="AT275:AT338" si="119">CONCATENATE(AV275,".",AU275,".",AW275)</f>
        <v>4_14x8S.L8.V</v>
      </c>
      <c r="AU275" s="18" t="s">
        <v>68</v>
      </c>
      <c r="AV275" s="18" t="s">
        <v>1049</v>
      </c>
      <c r="AW275" s="20" t="s">
        <v>940</v>
      </c>
      <c r="AX275" s="228">
        <v>1220115</v>
      </c>
      <c r="AY275" s="229">
        <v>223</v>
      </c>
      <c r="BA275" s="91"/>
      <c r="CK275" s="160"/>
      <c r="CL275" s="18"/>
      <c r="CM275" s="18"/>
      <c r="CN275" s="18"/>
      <c r="CO275" s="23"/>
      <c r="CP275" s="226"/>
      <c r="CQ275" s="167"/>
      <c r="CR275" s="168"/>
      <c r="CS275" s="23"/>
      <c r="CT275" s="167"/>
      <c r="DJ275" s="232" t="s">
        <v>908</v>
      </c>
      <c r="DK275" s="234" t="s">
        <v>235</v>
      </c>
      <c r="DL275" s="234" t="s">
        <v>1195</v>
      </c>
      <c r="DM275" s="235">
        <v>44576</v>
      </c>
      <c r="DN275" s="236">
        <v>760</v>
      </c>
      <c r="DO275" s="237">
        <v>356.25</v>
      </c>
      <c r="DP275" s="236">
        <v>494</v>
      </c>
      <c r="EF275" s="19"/>
      <c r="EG275" s="18"/>
      <c r="EH275" s="18"/>
      <c r="EI275" s="20"/>
      <c r="EX275" s="27"/>
      <c r="EY275" s="18"/>
      <c r="EZ275" s="20"/>
      <c r="FA275" s="18"/>
    </row>
    <row r="276" spans="46:157" x14ac:dyDescent="0.3">
      <c r="AT276" s="44" t="str">
        <f t="shared" si="119"/>
        <v>5_14S.L8.V</v>
      </c>
      <c r="AU276" s="18" t="s">
        <v>68</v>
      </c>
      <c r="AV276" s="18" t="s">
        <v>1026</v>
      </c>
      <c r="AW276" s="20" t="s">
        <v>940</v>
      </c>
      <c r="AX276" s="228">
        <v>1220115</v>
      </c>
      <c r="AY276" s="229">
        <v>75</v>
      </c>
      <c r="BA276" s="91"/>
      <c r="CK276" s="160"/>
      <c r="CL276" s="18"/>
      <c r="CM276" s="18"/>
      <c r="CN276" s="18"/>
      <c r="CO276" s="23"/>
      <c r="CP276" s="226"/>
      <c r="CQ276" s="167"/>
      <c r="CR276" s="168"/>
      <c r="CS276" s="23"/>
      <c r="CT276" s="167"/>
      <c r="DJ276" s="232" t="s">
        <v>908</v>
      </c>
      <c r="DK276" s="234" t="s">
        <v>235</v>
      </c>
      <c r="DL276" s="234" t="s">
        <v>1196</v>
      </c>
      <c r="DM276" s="235">
        <v>44576</v>
      </c>
      <c r="DN276" s="236">
        <v>760</v>
      </c>
      <c r="DO276" s="237">
        <v>285</v>
      </c>
      <c r="DP276" s="236">
        <v>494</v>
      </c>
      <c r="EF276" s="19"/>
      <c r="EG276" s="18"/>
      <c r="EH276" s="18"/>
      <c r="EI276" s="18"/>
      <c r="EX276" s="27"/>
      <c r="EY276" s="18"/>
      <c r="EZ276" s="20"/>
      <c r="FA276" s="18"/>
    </row>
    <row r="277" spans="46:157" x14ac:dyDescent="0.3">
      <c r="AT277" s="44" t="str">
        <f t="shared" si="119"/>
        <v>5_14x8S.L8.V</v>
      </c>
      <c r="AU277" s="18" t="s">
        <v>68</v>
      </c>
      <c r="AV277" s="18" t="s">
        <v>1059</v>
      </c>
      <c r="AW277" s="20" t="s">
        <v>940</v>
      </c>
      <c r="AX277" s="228">
        <v>1220115</v>
      </c>
      <c r="AY277" s="229">
        <v>75</v>
      </c>
      <c r="BA277" s="91"/>
      <c r="CK277" s="160"/>
      <c r="CL277" s="18"/>
      <c r="CM277" s="18"/>
      <c r="CN277" s="18"/>
      <c r="CO277" s="23"/>
      <c r="CP277" s="226"/>
      <c r="CQ277" s="167"/>
      <c r="CR277" s="168"/>
      <c r="CS277" s="23"/>
      <c r="CT277" s="167"/>
      <c r="DJ277" s="232" t="s">
        <v>908</v>
      </c>
      <c r="DK277" s="234" t="s">
        <v>235</v>
      </c>
      <c r="DL277" s="234" t="s">
        <v>1197</v>
      </c>
      <c r="DM277" s="235">
        <v>44576</v>
      </c>
      <c r="DN277" s="236">
        <v>760</v>
      </c>
      <c r="DO277" s="237">
        <v>285</v>
      </c>
      <c r="DP277" s="236">
        <v>494</v>
      </c>
      <c r="EF277" s="19"/>
      <c r="EG277" s="18"/>
      <c r="EH277" s="18"/>
      <c r="EI277" s="18"/>
      <c r="EX277" s="27"/>
      <c r="EY277" s="18"/>
      <c r="EZ277" s="20"/>
      <c r="FA277" s="18"/>
    </row>
    <row r="278" spans="46:157" x14ac:dyDescent="0.3">
      <c r="AT278" s="44" t="str">
        <f t="shared" si="119"/>
        <v>5H_14x8S.L8.V</v>
      </c>
      <c r="AU278" s="18" t="s">
        <v>68</v>
      </c>
      <c r="AV278" s="18" t="s">
        <v>1067</v>
      </c>
      <c r="AW278" s="20" t="s">
        <v>940</v>
      </c>
      <c r="AX278" s="228">
        <v>1220115</v>
      </c>
      <c r="AY278" s="229">
        <v>196</v>
      </c>
      <c r="BA278" s="91"/>
      <c r="CK278" s="160"/>
      <c r="CL278" s="18"/>
      <c r="CM278" s="18"/>
      <c r="CN278" s="18"/>
      <c r="CO278" s="23"/>
      <c r="CP278" s="226"/>
      <c r="CQ278" s="167"/>
      <c r="CR278" s="168"/>
      <c r="CS278" s="23"/>
      <c r="CT278" s="167"/>
      <c r="DJ278" s="232" t="s">
        <v>921</v>
      </c>
      <c r="DK278" s="234" t="s">
        <v>235</v>
      </c>
      <c r="DL278" s="234" t="s">
        <v>1195</v>
      </c>
      <c r="DM278" s="235">
        <v>44576</v>
      </c>
      <c r="DN278" s="236">
        <v>737</v>
      </c>
      <c r="DO278" s="237">
        <v>345.47</v>
      </c>
      <c r="DP278" s="236">
        <v>479</v>
      </c>
      <c r="EF278" s="19"/>
      <c r="EG278" s="18"/>
      <c r="EH278" s="18"/>
      <c r="EI278" s="20"/>
      <c r="EX278" s="27"/>
      <c r="EY278" s="18"/>
      <c r="EZ278" s="20"/>
      <c r="FA278" s="18"/>
    </row>
    <row r="279" spans="46:157" x14ac:dyDescent="0.3">
      <c r="AT279" s="44" t="str">
        <f t="shared" si="119"/>
        <v>6_12S.L8.V</v>
      </c>
      <c r="AU279" s="18" t="s">
        <v>68</v>
      </c>
      <c r="AV279" s="18" t="s">
        <v>995</v>
      </c>
      <c r="AW279" s="20" t="s">
        <v>940</v>
      </c>
      <c r="AX279" s="228">
        <v>1220115</v>
      </c>
      <c r="AY279" s="229">
        <v>307</v>
      </c>
      <c r="BA279" s="91"/>
      <c r="CK279" s="160"/>
      <c r="CL279" s="18"/>
      <c r="CM279" s="18"/>
      <c r="CN279" s="18"/>
      <c r="CO279" s="23"/>
      <c r="CP279" s="226"/>
      <c r="CQ279" s="167"/>
      <c r="CR279" s="168"/>
      <c r="CS279" s="23"/>
      <c r="CT279" s="167"/>
      <c r="DJ279" s="232" t="s">
        <v>921</v>
      </c>
      <c r="DK279" s="234" t="s">
        <v>235</v>
      </c>
      <c r="DL279" s="234" t="s">
        <v>1196</v>
      </c>
      <c r="DM279" s="235">
        <v>44576</v>
      </c>
      <c r="DN279" s="236">
        <v>737</v>
      </c>
      <c r="DO279" s="237">
        <v>276.06</v>
      </c>
      <c r="DP279" s="236">
        <v>479</v>
      </c>
      <c r="EF279" s="19"/>
      <c r="EG279" s="18"/>
      <c r="EH279" s="18"/>
      <c r="EI279" s="18"/>
      <c r="EX279" s="27"/>
      <c r="EY279" s="18"/>
      <c r="EZ279" s="20"/>
      <c r="FA279" s="18"/>
    </row>
    <row r="280" spans="46:157" x14ac:dyDescent="0.3">
      <c r="AT280" s="44" t="str">
        <f t="shared" si="119"/>
        <v>6_13S.L8.V</v>
      </c>
      <c r="AU280" s="18" t="s">
        <v>68</v>
      </c>
      <c r="AV280" s="18" t="s">
        <v>1012</v>
      </c>
      <c r="AW280" s="20" t="s">
        <v>940</v>
      </c>
      <c r="AX280" s="228">
        <v>1220115</v>
      </c>
      <c r="AY280" s="229">
        <v>296</v>
      </c>
      <c r="BA280" s="91"/>
      <c r="CK280" s="160"/>
      <c r="CL280" s="18"/>
      <c r="CM280" s="18"/>
      <c r="CN280" s="18"/>
      <c r="CO280" s="23"/>
      <c r="CP280" s="226"/>
      <c r="CQ280" s="167"/>
      <c r="CR280" s="168"/>
      <c r="CS280" s="23"/>
      <c r="CT280" s="167"/>
      <c r="DJ280" s="232" t="s">
        <v>921</v>
      </c>
      <c r="DK280" s="234" t="s">
        <v>235</v>
      </c>
      <c r="DL280" s="234" t="s">
        <v>1197</v>
      </c>
      <c r="DM280" s="235">
        <v>44576</v>
      </c>
      <c r="DN280" s="236">
        <v>737</v>
      </c>
      <c r="DO280" s="237">
        <v>276.06</v>
      </c>
      <c r="DP280" s="236">
        <v>479</v>
      </c>
      <c r="EF280" s="21"/>
      <c r="EG280" s="18"/>
      <c r="EH280" s="18"/>
      <c r="EI280" s="18"/>
      <c r="EX280" s="27"/>
      <c r="EY280" s="18"/>
      <c r="EZ280" s="20"/>
      <c r="FA280" s="18"/>
    </row>
    <row r="281" spans="46:157" x14ac:dyDescent="0.3">
      <c r="AT281" s="44" t="str">
        <f t="shared" si="119"/>
        <v>6_6T.L8.V</v>
      </c>
      <c r="AU281" s="18" t="s">
        <v>68</v>
      </c>
      <c r="AV281" s="18" t="s">
        <v>1184</v>
      </c>
      <c r="AW281" s="20" t="s">
        <v>940</v>
      </c>
      <c r="AX281" s="228">
        <v>1220115</v>
      </c>
      <c r="AY281" s="229">
        <v>405</v>
      </c>
      <c r="BA281" s="91"/>
      <c r="CK281" s="160"/>
      <c r="CL281" s="18"/>
      <c r="CM281" s="18"/>
      <c r="CN281" s="18"/>
      <c r="CO281" s="23"/>
      <c r="CP281" s="226"/>
      <c r="CQ281" s="167"/>
      <c r="CR281" s="168"/>
      <c r="CS281" s="23"/>
      <c r="CT281" s="167"/>
      <c r="DJ281" s="232" t="s">
        <v>895</v>
      </c>
      <c r="DK281" s="234" t="s">
        <v>235</v>
      </c>
      <c r="DL281" s="234" t="s">
        <v>1195</v>
      </c>
      <c r="DM281" s="235">
        <v>44576</v>
      </c>
      <c r="DN281" s="236">
        <v>658</v>
      </c>
      <c r="DO281" s="237">
        <v>308.44</v>
      </c>
      <c r="DP281" s="236">
        <v>428</v>
      </c>
      <c r="EF281" s="19"/>
      <c r="EG281" s="18"/>
      <c r="EH281" s="18"/>
      <c r="EI281" s="18"/>
      <c r="EX281" s="27"/>
      <c r="EY281" s="18"/>
      <c r="EZ281" s="20"/>
      <c r="FA281" s="18"/>
    </row>
    <row r="282" spans="46:157" x14ac:dyDescent="0.3">
      <c r="AT282" s="44" t="str">
        <f t="shared" si="119"/>
        <v>6_8T.L8.V</v>
      </c>
      <c r="AU282" s="18" t="s">
        <v>68</v>
      </c>
      <c r="AV282" s="18" t="s">
        <v>1185</v>
      </c>
      <c r="AW282" s="20" t="s">
        <v>940</v>
      </c>
      <c r="AX282" s="228">
        <v>1220115</v>
      </c>
      <c r="AY282" s="229">
        <v>405</v>
      </c>
      <c r="BA282" s="91"/>
      <c r="CK282" s="160"/>
      <c r="CL282" s="18"/>
      <c r="CM282" s="18"/>
      <c r="CN282" s="18"/>
      <c r="CO282" s="23"/>
      <c r="CP282" s="226"/>
      <c r="CQ282" s="167"/>
      <c r="CR282" s="168"/>
      <c r="CS282" s="23"/>
      <c r="CT282" s="167"/>
      <c r="DJ282" s="232" t="s">
        <v>895</v>
      </c>
      <c r="DK282" s="234" t="s">
        <v>235</v>
      </c>
      <c r="DL282" s="234" t="s">
        <v>1196</v>
      </c>
      <c r="DM282" s="235">
        <v>44576</v>
      </c>
      <c r="DN282" s="236">
        <v>658</v>
      </c>
      <c r="DO282" s="237">
        <v>246.75</v>
      </c>
      <c r="DP282" s="236">
        <v>428</v>
      </c>
      <c r="EF282" s="19"/>
      <c r="EG282" s="18"/>
      <c r="EH282" s="18"/>
      <c r="EI282" s="20"/>
      <c r="EX282" s="27"/>
      <c r="EY282" s="18"/>
      <c r="EZ282" s="20"/>
      <c r="FA282" s="18"/>
    </row>
    <row r="283" spans="46:157" x14ac:dyDescent="0.3">
      <c r="AT283" s="44" t="str">
        <f t="shared" si="119"/>
        <v>6H_14S.L8.V</v>
      </c>
      <c r="AU283" s="18" t="s">
        <v>68</v>
      </c>
      <c r="AV283" s="18" t="s">
        <v>1039</v>
      </c>
      <c r="AW283" s="20" t="s">
        <v>940</v>
      </c>
      <c r="AX283" s="228">
        <v>1220115</v>
      </c>
      <c r="AY283" s="229">
        <v>95</v>
      </c>
      <c r="BA283" s="91"/>
      <c r="CK283" s="160"/>
      <c r="CL283" s="18"/>
      <c r="CM283" s="18"/>
      <c r="CN283" s="18"/>
      <c r="CO283" s="23"/>
      <c r="CP283" s="226"/>
      <c r="CQ283" s="167"/>
      <c r="CR283" s="168"/>
      <c r="CS283" s="23"/>
      <c r="CT283" s="167"/>
      <c r="DJ283" s="232" t="s">
        <v>895</v>
      </c>
      <c r="DK283" s="234" t="s">
        <v>235</v>
      </c>
      <c r="DL283" s="234" t="s">
        <v>1197</v>
      </c>
      <c r="DM283" s="235">
        <v>44576</v>
      </c>
      <c r="DN283" s="236">
        <v>658</v>
      </c>
      <c r="DO283" s="237">
        <v>246.75</v>
      </c>
      <c r="DP283" s="236">
        <v>428</v>
      </c>
      <c r="EF283" s="21"/>
      <c r="EG283" s="18"/>
      <c r="EH283" s="18"/>
      <c r="EI283" s="20"/>
      <c r="EX283" s="27"/>
      <c r="EY283" s="18"/>
      <c r="EZ283" s="20"/>
      <c r="FA283" s="18"/>
    </row>
    <row r="284" spans="46:157" x14ac:dyDescent="0.3">
      <c r="AT284" s="44" t="str">
        <f t="shared" si="119"/>
        <v>6H_14x8S.L8.V</v>
      </c>
      <c r="AU284" s="18" t="s">
        <v>68</v>
      </c>
      <c r="AV284" s="18" t="s">
        <v>1075</v>
      </c>
      <c r="AW284" s="20" t="s">
        <v>940</v>
      </c>
      <c r="AX284" s="228">
        <v>1220115</v>
      </c>
      <c r="AY284" s="229">
        <v>95</v>
      </c>
      <c r="BA284" s="91"/>
      <c r="CK284" s="160"/>
      <c r="CL284" s="18"/>
      <c r="CM284" s="18"/>
      <c r="CN284" s="18"/>
      <c r="CO284" s="23"/>
      <c r="CP284" s="226"/>
      <c r="CQ284" s="167"/>
      <c r="CR284" s="168"/>
      <c r="CS284" s="23"/>
      <c r="CT284" s="167"/>
      <c r="DJ284" s="232" t="s">
        <v>886</v>
      </c>
      <c r="DK284" s="234" t="s">
        <v>235</v>
      </c>
      <c r="DL284" s="234" t="s">
        <v>1195</v>
      </c>
      <c r="DM284" s="235">
        <v>44576</v>
      </c>
      <c r="DN284" s="236">
        <v>1568</v>
      </c>
      <c r="DO284" s="237">
        <v>629.16</v>
      </c>
      <c r="DP284" s="236">
        <v>1019</v>
      </c>
      <c r="EF284" s="19"/>
      <c r="EG284" s="18"/>
      <c r="EH284" s="18"/>
      <c r="EI284" s="18"/>
      <c r="EX284" s="27"/>
      <c r="EY284" s="18"/>
      <c r="EZ284" s="20"/>
      <c r="FA284" s="18"/>
    </row>
    <row r="285" spans="46:157" x14ac:dyDescent="0.3">
      <c r="AT285" s="44" t="str">
        <f t="shared" si="119"/>
        <v>7_10T.L8.V</v>
      </c>
      <c r="AU285" s="18" t="s">
        <v>68</v>
      </c>
      <c r="AV285" s="18" t="s">
        <v>763</v>
      </c>
      <c r="AW285" s="20" t="s">
        <v>940</v>
      </c>
      <c r="AX285" s="228">
        <v>1220115</v>
      </c>
      <c r="AY285" s="229">
        <v>364</v>
      </c>
      <c r="BA285" s="91"/>
      <c r="CK285" s="160"/>
      <c r="CL285" s="18"/>
      <c r="CM285" s="18"/>
      <c r="CN285" s="18"/>
      <c r="CO285" s="23"/>
      <c r="CP285" s="226"/>
      <c r="CQ285" s="167"/>
      <c r="CR285" s="168"/>
      <c r="CS285" s="23"/>
      <c r="CT285" s="167"/>
      <c r="DJ285" s="232" t="s">
        <v>886</v>
      </c>
      <c r="DK285" s="234" t="s">
        <v>235</v>
      </c>
      <c r="DL285" s="234" t="s">
        <v>1196</v>
      </c>
      <c r="DM285" s="235">
        <v>44576</v>
      </c>
      <c r="DN285" s="236">
        <v>1568</v>
      </c>
      <c r="DO285" s="237">
        <v>588</v>
      </c>
      <c r="DP285" s="236">
        <v>1019</v>
      </c>
      <c r="EF285" s="19"/>
      <c r="EG285" s="18"/>
      <c r="EH285" s="18"/>
      <c r="EI285" s="18"/>
      <c r="EX285" s="27"/>
      <c r="EY285" s="18"/>
      <c r="EZ285" s="20"/>
      <c r="FA285" s="18"/>
    </row>
    <row r="286" spans="46:157" x14ac:dyDescent="0.3">
      <c r="AT286" s="44" t="str">
        <f t="shared" si="119"/>
        <v>7_6T.L8.V</v>
      </c>
      <c r="AU286" s="18" t="s">
        <v>68</v>
      </c>
      <c r="AV286" s="20" t="s">
        <v>736</v>
      </c>
      <c r="AW286" s="20" t="s">
        <v>940</v>
      </c>
      <c r="AX286" s="228">
        <v>1220115</v>
      </c>
      <c r="AY286" s="229">
        <v>405</v>
      </c>
      <c r="BA286" s="91"/>
      <c r="CK286" s="160"/>
      <c r="CL286" s="18"/>
      <c r="CM286" s="18"/>
      <c r="CN286" s="18"/>
      <c r="CO286" s="23"/>
      <c r="CP286" s="226"/>
      <c r="CQ286" s="167"/>
      <c r="CR286" s="168"/>
      <c r="CS286" s="23"/>
      <c r="CT286" s="167"/>
      <c r="DJ286" s="232" t="s">
        <v>886</v>
      </c>
      <c r="DK286" s="234" t="s">
        <v>235</v>
      </c>
      <c r="DL286" s="234" t="s">
        <v>1197</v>
      </c>
      <c r="DM286" s="235">
        <v>44576</v>
      </c>
      <c r="DN286" s="236">
        <v>1568</v>
      </c>
      <c r="DO286" s="237">
        <v>588</v>
      </c>
      <c r="DP286" s="236">
        <v>1019</v>
      </c>
      <c r="EF286" s="19"/>
      <c r="EG286" s="18"/>
      <c r="EH286" s="18"/>
      <c r="EI286" s="18"/>
      <c r="EX286" s="27"/>
      <c r="EY286" s="18"/>
      <c r="EZ286" s="20"/>
      <c r="FA286" s="18"/>
    </row>
    <row r="287" spans="46:157" x14ac:dyDescent="0.3">
      <c r="AT287" s="44" t="str">
        <f t="shared" si="119"/>
        <v>7_8T.L8.V</v>
      </c>
      <c r="AU287" s="18" t="s">
        <v>68</v>
      </c>
      <c r="AV287" s="18" t="s">
        <v>748</v>
      </c>
      <c r="AW287" s="20" t="s">
        <v>940</v>
      </c>
      <c r="AX287" s="228">
        <v>1220115</v>
      </c>
      <c r="AY287" s="229">
        <v>405</v>
      </c>
      <c r="BA287" s="91"/>
      <c r="CK287" s="160"/>
      <c r="CL287" s="18"/>
      <c r="CM287" s="18"/>
      <c r="CN287" s="18"/>
      <c r="CO287" s="23"/>
      <c r="CP287" s="226"/>
      <c r="CQ287" s="167"/>
      <c r="CR287" s="168"/>
      <c r="CS287" s="23"/>
      <c r="CT287" s="167"/>
      <c r="DJ287" s="232" t="s">
        <v>912</v>
      </c>
      <c r="DK287" s="234" t="s">
        <v>235</v>
      </c>
      <c r="DL287" s="234" t="s">
        <v>1195</v>
      </c>
      <c r="DM287" s="235">
        <v>44576</v>
      </c>
      <c r="DN287" s="236">
        <v>998</v>
      </c>
      <c r="DO287" s="237">
        <v>400.45</v>
      </c>
      <c r="DP287" s="236">
        <v>649</v>
      </c>
      <c r="EF287" s="21"/>
      <c r="EG287" s="18"/>
      <c r="EH287" s="18"/>
      <c r="EI287" s="18"/>
      <c r="EX287" s="27"/>
      <c r="EY287" s="18"/>
      <c r="EZ287" s="20"/>
      <c r="FA287" s="18"/>
    </row>
    <row r="288" spans="46:157" x14ac:dyDescent="0.3">
      <c r="AT288" s="44" t="str">
        <f t="shared" si="119"/>
        <v>7H_10T.L8.V</v>
      </c>
      <c r="AU288" s="18" t="s">
        <v>68</v>
      </c>
      <c r="AV288" s="18" t="s">
        <v>769</v>
      </c>
      <c r="AW288" s="20" t="s">
        <v>940</v>
      </c>
      <c r="AX288" s="228">
        <v>1220115</v>
      </c>
      <c r="AY288" s="229">
        <v>364</v>
      </c>
      <c r="BA288" s="91"/>
      <c r="CK288" s="160"/>
      <c r="CL288" s="18"/>
      <c r="CM288" s="18"/>
      <c r="CN288" s="18"/>
      <c r="CO288" s="23"/>
      <c r="CP288" s="226"/>
      <c r="CQ288" s="167"/>
      <c r="CR288" s="168"/>
      <c r="CS288" s="23"/>
      <c r="CT288" s="167"/>
      <c r="DJ288" s="232" t="s">
        <v>912</v>
      </c>
      <c r="DK288" s="234" t="s">
        <v>235</v>
      </c>
      <c r="DL288" s="234" t="s">
        <v>1196</v>
      </c>
      <c r="DM288" s="235">
        <v>44576</v>
      </c>
      <c r="DN288" s="236">
        <v>998</v>
      </c>
      <c r="DO288" s="237">
        <v>374.25</v>
      </c>
      <c r="DP288" s="236">
        <v>649</v>
      </c>
      <c r="EF288" s="21"/>
      <c r="EG288" s="18"/>
      <c r="EH288" s="18"/>
      <c r="EI288" s="18"/>
      <c r="EX288" s="27"/>
      <c r="EY288" s="18"/>
      <c r="EZ288" s="20"/>
      <c r="FA288" s="18"/>
    </row>
    <row r="289" spans="46:157" x14ac:dyDescent="0.3">
      <c r="AT289" s="44" t="str">
        <f t="shared" si="119"/>
        <v>8_10T.L8.V</v>
      </c>
      <c r="AU289" s="18" t="s">
        <v>68</v>
      </c>
      <c r="AV289" s="18" t="s">
        <v>776</v>
      </c>
      <c r="AW289" s="20" t="s">
        <v>940</v>
      </c>
      <c r="AX289" s="228">
        <v>1220115</v>
      </c>
      <c r="AY289" s="229">
        <v>364</v>
      </c>
      <c r="BA289" s="91"/>
      <c r="CK289" s="160"/>
      <c r="CL289" s="18"/>
      <c r="CM289" s="18"/>
      <c r="CN289" s="18"/>
      <c r="CO289" s="23"/>
      <c r="CP289" s="226"/>
      <c r="CQ289" s="167"/>
      <c r="CR289" s="168"/>
      <c r="CS289" s="23"/>
      <c r="CT289" s="167"/>
      <c r="DJ289" s="232" t="s">
        <v>912</v>
      </c>
      <c r="DK289" s="234" t="s">
        <v>235</v>
      </c>
      <c r="DL289" s="234" t="s">
        <v>1197</v>
      </c>
      <c r="DM289" s="235">
        <v>44576</v>
      </c>
      <c r="DN289" s="236">
        <v>998</v>
      </c>
      <c r="DO289" s="237">
        <v>374.25</v>
      </c>
      <c r="DP289" s="236">
        <v>649</v>
      </c>
      <c r="EF289" s="19"/>
      <c r="EG289" s="18"/>
      <c r="EH289" s="18"/>
      <c r="EI289" s="18"/>
      <c r="EX289" s="27"/>
      <c r="EY289" s="18"/>
      <c r="EZ289" s="20"/>
      <c r="FA289" s="18"/>
    </row>
    <row r="290" spans="46:157" x14ac:dyDescent="0.3">
      <c r="AT290" s="44" t="str">
        <f t="shared" si="119"/>
        <v>8_12T.L8.V</v>
      </c>
      <c r="AU290" s="18" t="s">
        <v>68</v>
      </c>
      <c r="AV290" s="18" t="s">
        <v>791</v>
      </c>
      <c r="AW290" s="20" t="s">
        <v>940</v>
      </c>
      <c r="AX290" s="228">
        <v>1220115</v>
      </c>
      <c r="AY290" s="229">
        <v>352</v>
      </c>
      <c r="BA290" s="91"/>
      <c r="CK290" s="160"/>
      <c r="CL290" s="18"/>
      <c r="CM290" s="18"/>
      <c r="CN290" s="18"/>
      <c r="CO290" s="23"/>
      <c r="CP290" s="226"/>
      <c r="CQ290" s="167"/>
      <c r="CR290" s="168"/>
      <c r="CS290" s="23"/>
      <c r="CT290" s="167"/>
      <c r="DJ290" s="232" t="s">
        <v>925</v>
      </c>
      <c r="DK290" s="234" t="s">
        <v>235</v>
      </c>
      <c r="DL290" s="234" t="s">
        <v>1195</v>
      </c>
      <c r="DM290" s="235">
        <v>44576</v>
      </c>
      <c r="DN290" s="236">
        <v>737</v>
      </c>
      <c r="DO290" s="237">
        <v>345.48</v>
      </c>
      <c r="DP290" s="236">
        <v>479</v>
      </c>
      <c r="EF290" s="19"/>
      <c r="EG290" s="18"/>
      <c r="EH290" s="18"/>
      <c r="EI290" s="18"/>
      <c r="EX290" s="27"/>
      <c r="EY290" s="18"/>
      <c r="EZ290" s="20"/>
      <c r="FA290" s="18"/>
    </row>
    <row r="291" spans="46:157" x14ac:dyDescent="0.3">
      <c r="AT291" s="44" t="str">
        <f t="shared" si="119"/>
        <v>8_14S.L8.V</v>
      </c>
      <c r="AU291" s="18" t="s">
        <v>68</v>
      </c>
      <c r="AV291" s="18" t="s">
        <v>1046</v>
      </c>
      <c r="AW291" s="20" t="s">
        <v>940</v>
      </c>
      <c r="AX291" s="228">
        <v>1220115</v>
      </c>
      <c r="AY291" s="229">
        <v>80</v>
      </c>
      <c r="BA291" s="91"/>
      <c r="CK291" s="160"/>
      <c r="CL291" s="18"/>
      <c r="CM291" s="18"/>
      <c r="CN291" s="18"/>
      <c r="CO291" s="23"/>
      <c r="CP291" s="226"/>
      <c r="CQ291" s="167"/>
      <c r="CR291" s="168"/>
      <c r="CS291" s="23"/>
      <c r="CT291" s="167"/>
      <c r="DJ291" s="232" t="s">
        <v>925</v>
      </c>
      <c r="DK291" s="234" t="s">
        <v>235</v>
      </c>
      <c r="DL291" s="234" t="s">
        <v>1196</v>
      </c>
      <c r="DM291" s="235">
        <v>44576</v>
      </c>
      <c r="DN291" s="236">
        <v>737</v>
      </c>
      <c r="DO291" s="237">
        <v>275.20999999999998</v>
      </c>
      <c r="DP291" s="236">
        <v>479</v>
      </c>
      <c r="EF291" s="19"/>
      <c r="EG291" s="18"/>
      <c r="EH291" s="18"/>
      <c r="EI291" s="18"/>
      <c r="EX291" s="27"/>
      <c r="EY291" s="18"/>
      <c r="EZ291" s="20"/>
      <c r="FA291" s="18"/>
    </row>
    <row r="292" spans="46:157" x14ac:dyDescent="0.3">
      <c r="AT292" s="44" t="str">
        <f t="shared" si="119"/>
        <v>8_6T.L8.V</v>
      </c>
      <c r="AU292" s="18" t="s">
        <v>68</v>
      </c>
      <c r="AV292" s="18" t="s">
        <v>744</v>
      </c>
      <c r="AW292" s="20" t="s">
        <v>940</v>
      </c>
      <c r="AX292" s="228">
        <v>1220115</v>
      </c>
      <c r="AY292" s="229">
        <v>405</v>
      </c>
      <c r="BA292" s="91"/>
      <c r="CK292" s="160"/>
      <c r="CL292" s="18"/>
      <c r="CM292" s="18"/>
      <c r="CN292" s="18"/>
      <c r="CO292" s="23"/>
      <c r="CP292" s="226"/>
      <c r="CQ292" s="167"/>
      <c r="CR292" s="168"/>
      <c r="CS292" s="23"/>
      <c r="CT292" s="167"/>
      <c r="DJ292" s="232" t="s">
        <v>925</v>
      </c>
      <c r="DK292" s="234" t="s">
        <v>235</v>
      </c>
      <c r="DL292" s="234" t="s">
        <v>1197</v>
      </c>
      <c r="DM292" s="235">
        <v>44576</v>
      </c>
      <c r="DN292" s="236">
        <v>737</v>
      </c>
      <c r="DO292" s="237">
        <v>275.20999999999998</v>
      </c>
      <c r="DP292" s="236">
        <v>479</v>
      </c>
      <c r="EF292" s="19"/>
      <c r="EG292" s="18"/>
      <c r="EH292" s="18"/>
      <c r="EI292" s="18"/>
      <c r="EX292" s="27"/>
      <c r="EY292" s="18"/>
      <c r="EZ292" s="20"/>
      <c r="FA292" s="18"/>
    </row>
    <row r="293" spans="46:157" x14ac:dyDescent="0.3">
      <c r="AT293" s="44" t="str">
        <f t="shared" si="119"/>
        <v>8_8T.L8.V</v>
      </c>
      <c r="AU293" s="18" t="s">
        <v>68</v>
      </c>
      <c r="AV293" s="18" t="s">
        <v>754</v>
      </c>
      <c r="AW293" s="20" t="s">
        <v>940</v>
      </c>
      <c r="AX293" s="228">
        <v>1220115</v>
      </c>
      <c r="AY293" s="229">
        <v>405</v>
      </c>
      <c r="BA293" s="91"/>
      <c r="CK293" s="160"/>
      <c r="CL293" s="18"/>
      <c r="CM293" s="18"/>
      <c r="CN293" s="18"/>
      <c r="CO293" s="23"/>
      <c r="CP293" s="226"/>
      <c r="CQ293" s="167"/>
      <c r="CR293" s="168"/>
      <c r="CS293" s="23"/>
      <c r="CT293" s="167"/>
      <c r="DJ293" s="232" t="s">
        <v>899</v>
      </c>
      <c r="DK293" s="234" t="s">
        <v>235</v>
      </c>
      <c r="DL293" s="234" t="s">
        <v>1195</v>
      </c>
      <c r="DM293" s="235">
        <v>44576</v>
      </c>
      <c r="DN293" s="236">
        <v>691</v>
      </c>
      <c r="DO293" s="237">
        <v>277.26</v>
      </c>
      <c r="DP293" s="236">
        <v>449</v>
      </c>
      <c r="EF293" s="19"/>
      <c r="EG293" s="18"/>
      <c r="EH293" s="18"/>
      <c r="EI293" s="20"/>
      <c r="EX293" s="27"/>
      <c r="EY293" s="18"/>
      <c r="EZ293" s="20"/>
      <c r="FA293" s="18"/>
    </row>
    <row r="294" spans="46:157" x14ac:dyDescent="0.3">
      <c r="AT294" s="44" t="str">
        <f t="shared" si="119"/>
        <v>9_10T.L8.V</v>
      </c>
      <c r="AU294" s="18" t="s">
        <v>68</v>
      </c>
      <c r="AV294" s="18" t="s">
        <v>783</v>
      </c>
      <c r="AW294" s="20" t="s">
        <v>940</v>
      </c>
      <c r="AX294" s="228">
        <v>1220115</v>
      </c>
      <c r="AY294" s="229">
        <v>364</v>
      </c>
      <c r="BA294" s="91"/>
      <c r="CK294" s="160"/>
      <c r="CL294" s="18"/>
      <c r="CM294" s="18"/>
      <c r="CN294" s="18"/>
      <c r="CO294" s="23"/>
      <c r="CP294" s="226"/>
      <c r="CQ294" s="167"/>
      <c r="CR294" s="168"/>
      <c r="CS294" s="23"/>
      <c r="CT294" s="167"/>
      <c r="DJ294" s="232" t="s">
        <v>899</v>
      </c>
      <c r="DK294" s="234" t="s">
        <v>235</v>
      </c>
      <c r="DL294" s="234" t="s">
        <v>1196</v>
      </c>
      <c r="DM294" s="235">
        <v>44576</v>
      </c>
      <c r="DN294" s="236">
        <v>691</v>
      </c>
      <c r="DO294" s="237">
        <v>259.13</v>
      </c>
      <c r="DP294" s="236">
        <v>449</v>
      </c>
      <c r="EF294" s="19"/>
      <c r="EG294" s="18"/>
      <c r="EH294" s="18"/>
      <c r="EI294" s="18"/>
      <c r="EX294" s="27"/>
      <c r="EY294" s="18"/>
      <c r="EZ294" s="20"/>
      <c r="FA294" s="18"/>
    </row>
    <row r="295" spans="46:157" x14ac:dyDescent="0.3">
      <c r="AT295" s="44" t="str">
        <f t="shared" si="119"/>
        <v>9_12T.L8.V</v>
      </c>
      <c r="AU295" s="18" t="s">
        <v>68</v>
      </c>
      <c r="AV295" s="18" t="s">
        <v>804</v>
      </c>
      <c r="AW295" s="20" t="s">
        <v>940</v>
      </c>
      <c r="AX295" s="228">
        <v>1220115</v>
      </c>
      <c r="AY295" s="229">
        <v>352</v>
      </c>
      <c r="BA295" s="91"/>
      <c r="CK295" s="160"/>
      <c r="CL295" s="18"/>
      <c r="CM295" s="18"/>
      <c r="CN295" s="18"/>
      <c r="CO295" s="23"/>
      <c r="CP295" s="226"/>
      <c r="CQ295" s="167"/>
      <c r="CR295" s="168"/>
      <c r="CS295" s="23"/>
      <c r="CT295" s="167"/>
      <c r="DJ295" s="232" t="s">
        <v>899</v>
      </c>
      <c r="DK295" s="234" t="s">
        <v>235</v>
      </c>
      <c r="DL295" s="234" t="s">
        <v>1197</v>
      </c>
      <c r="DM295" s="235">
        <v>44576</v>
      </c>
      <c r="DN295" s="236">
        <v>691</v>
      </c>
      <c r="DO295" s="237">
        <v>259.13</v>
      </c>
      <c r="DP295" s="236">
        <v>449</v>
      </c>
      <c r="EF295" s="19"/>
      <c r="EG295" s="18"/>
      <c r="EH295" s="18"/>
      <c r="EI295" s="18"/>
      <c r="EX295" s="27"/>
      <c r="EY295" s="18"/>
      <c r="EZ295" s="20"/>
      <c r="FA295" s="18"/>
    </row>
    <row r="296" spans="46:157" x14ac:dyDescent="0.3">
      <c r="AT296" s="44" t="str">
        <f t="shared" si="119"/>
        <v>9_13T.L8.V</v>
      </c>
      <c r="AU296" s="18" t="s">
        <v>68</v>
      </c>
      <c r="AV296" s="18" t="s">
        <v>837</v>
      </c>
      <c r="AW296" s="20" t="s">
        <v>940</v>
      </c>
      <c r="AX296" s="228">
        <v>1220115</v>
      </c>
      <c r="AY296" s="229">
        <v>301</v>
      </c>
      <c r="BA296" s="91"/>
      <c r="CK296" s="160"/>
      <c r="CL296" s="18"/>
      <c r="CM296" s="18"/>
      <c r="CN296" s="18"/>
      <c r="CO296" s="23"/>
      <c r="CP296" s="226"/>
      <c r="CQ296" s="167"/>
      <c r="CR296" s="168"/>
      <c r="CS296" s="23"/>
      <c r="CT296" s="167"/>
      <c r="DH296" s="232"/>
      <c r="DI296" s="234"/>
      <c r="DJ296" s="234"/>
      <c r="DK296" s="235"/>
      <c r="DL296" s="236"/>
      <c r="DM296" s="236"/>
      <c r="DN296" s="236"/>
      <c r="EF296" s="19"/>
      <c r="EG296" s="18"/>
      <c r="EH296" s="18"/>
      <c r="EI296" s="18"/>
      <c r="EX296" s="27"/>
      <c r="EY296" s="18"/>
      <c r="EZ296" s="20"/>
      <c r="FA296" s="18"/>
    </row>
    <row r="297" spans="46:157" x14ac:dyDescent="0.3">
      <c r="AT297" s="44" t="str">
        <f t="shared" si="119"/>
        <v>9_14T.L8.V</v>
      </c>
      <c r="AU297" s="18" t="s">
        <v>68</v>
      </c>
      <c r="AV297" s="18" t="s">
        <v>874</v>
      </c>
      <c r="AW297" s="20" t="s">
        <v>940</v>
      </c>
      <c r="AX297" s="228">
        <v>1220115</v>
      </c>
      <c r="AY297" s="229">
        <v>121</v>
      </c>
      <c r="BA297" s="91"/>
      <c r="CK297" s="160"/>
      <c r="CL297" s="18"/>
      <c r="CM297" s="18"/>
      <c r="CN297" s="20"/>
      <c r="CO297" s="23"/>
      <c r="CP297" s="226"/>
      <c r="CQ297" s="167"/>
      <c r="CR297" s="170"/>
      <c r="CS297" s="23"/>
      <c r="CT297" s="169"/>
      <c r="DH297" s="232"/>
      <c r="DI297" s="234"/>
      <c r="DJ297" s="234"/>
      <c r="DK297" s="235"/>
      <c r="DL297" s="236"/>
      <c r="DM297" s="236"/>
      <c r="DN297" s="236"/>
      <c r="EF297" s="19"/>
      <c r="EG297" s="18"/>
      <c r="EH297" s="18"/>
      <c r="EI297" s="18"/>
      <c r="EX297" s="27"/>
      <c r="EY297" s="18"/>
      <c r="EZ297" s="20"/>
      <c r="FA297" s="18"/>
    </row>
    <row r="298" spans="46:157" x14ac:dyDescent="0.3">
      <c r="AT298" s="44" t="str">
        <f t="shared" si="119"/>
        <v>10_12T.L8.W</v>
      </c>
      <c r="AU298" s="18" t="s">
        <v>68</v>
      </c>
      <c r="AV298" s="18" t="s">
        <v>813</v>
      </c>
      <c r="AW298" s="20" t="s">
        <v>113</v>
      </c>
      <c r="AX298" s="228">
        <v>1220115</v>
      </c>
      <c r="AY298" s="229">
        <v>0</v>
      </c>
      <c r="BA298" s="91"/>
      <c r="CK298" s="160"/>
      <c r="CL298" s="18"/>
      <c r="CM298" s="18"/>
      <c r="CN298" s="18"/>
      <c r="CO298" s="23"/>
      <c r="CP298" s="226"/>
      <c r="CQ298" s="167"/>
      <c r="CR298" s="170"/>
      <c r="CS298" s="23"/>
      <c r="CT298" s="169"/>
      <c r="DH298" s="232"/>
      <c r="DI298" s="234"/>
      <c r="DJ298" s="234"/>
      <c r="DK298" s="235"/>
      <c r="DL298" s="236"/>
      <c r="DM298" s="236"/>
      <c r="DN298" s="236"/>
      <c r="EF298" s="21"/>
      <c r="EG298" s="18"/>
      <c r="EH298" s="18"/>
      <c r="EI298" s="18"/>
      <c r="EX298" s="27"/>
      <c r="EY298" s="18"/>
      <c r="EZ298" s="20"/>
      <c r="FA298" s="18"/>
    </row>
    <row r="299" spans="46:157" x14ac:dyDescent="0.3">
      <c r="AT299" s="44" t="str">
        <f t="shared" si="119"/>
        <v>10_13T.L8.W</v>
      </c>
      <c r="AU299" s="18" t="s">
        <v>68</v>
      </c>
      <c r="AV299" s="18" t="s">
        <v>848</v>
      </c>
      <c r="AW299" s="20" t="s">
        <v>113</v>
      </c>
      <c r="AX299" s="228">
        <v>1220115</v>
      </c>
      <c r="AY299" s="229">
        <v>0</v>
      </c>
      <c r="BA299" s="91"/>
      <c r="CK299" s="160"/>
      <c r="CL299" s="18"/>
      <c r="CM299" s="18"/>
      <c r="CN299" s="18"/>
      <c r="CO299" s="23"/>
      <c r="CP299" s="226"/>
      <c r="CQ299" s="169"/>
      <c r="CR299" s="170"/>
      <c r="CS299" s="23"/>
      <c r="CT299" s="169"/>
      <c r="DH299" s="232"/>
      <c r="DI299" s="234"/>
      <c r="DJ299" s="234"/>
      <c r="DK299" s="235"/>
      <c r="DL299" s="236"/>
      <c r="DM299" s="236"/>
      <c r="DN299" s="236"/>
      <c r="EF299" s="19"/>
      <c r="EG299" s="18"/>
      <c r="EH299" s="18"/>
      <c r="EI299" s="20"/>
      <c r="EX299" s="27"/>
      <c r="EY299" s="18"/>
      <c r="EZ299" s="20"/>
      <c r="FA299" s="18"/>
    </row>
    <row r="300" spans="46:157" x14ac:dyDescent="0.3">
      <c r="AT300" s="44" t="str">
        <f t="shared" si="119"/>
        <v>10_14S.L8.W</v>
      </c>
      <c r="AU300" s="18" t="s">
        <v>68</v>
      </c>
      <c r="AV300" s="18" t="s">
        <v>1122</v>
      </c>
      <c r="AW300" s="20" t="s">
        <v>113</v>
      </c>
      <c r="AX300" s="228">
        <v>1220115</v>
      </c>
      <c r="AY300" s="229">
        <v>0</v>
      </c>
      <c r="BA300" s="91"/>
      <c r="CK300" s="160"/>
      <c r="CL300" s="18"/>
      <c r="CM300" s="18"/>
      <c r="CN300" s="18"/>
      <c r="CO300" s="23"/>
      <c r="CP300" s="226"/>
      <c r="CQ300" s="169"/>
      <c r="CR300" s="170"/>
      <c r="CS300" s="23"/>
      <c r="CT300" s="169"/>
      <c r="DH300" s="232"/>
      <c r="DI300" s="234"/>
      <c r="DJ300" s="234"/>
      <c r="DK300" s="235"/>
      <c r="DL300" s="236"/>
      <c r="DM300" s="236"/>
      <c r="DN300" s="236"/>
      <c r="EF300" s="19"/>
      <c r="EG300" s="18"/>
      <c r="EH300" s="18"/>
      <c r="EI300" s="20"/>
      <c r="EX300" s="27"/>
      <c r="EY300" s="18"/>
      <c r="EZ300" s="20"/>
      <c r="FA300" s="18"/>
    </row>
    <row r="301" spans="46:157" x14ac:dyDescent="0.3">
      <c r="AT301" s="44" t="str">
        <f t="shared" si="119"/>
        <v>10_14T.L8.W</v>
      </c>
      <c r="AU301" s="18" t="s">
        <v>68</v>
      </c>
      <c r="AV301" s="18" t="s">
        <v>887</v>
      </c>
      <c r="AW301" s="20" t="s">
        <v>113</v>
      </c>
      <c r="AX301" s="228">
        <v>1220115</v>
      </c>
      <c r="AY301" s="229">
        <v>0</v>
      </c>
      <c r="BA301" s="91"/>
      <c r="CK301" s="160"/>
      <c r="CL301" s="18"/>
      <c r="CM301" s="18"/>
      <c r="CN301" s="18"/>
      <c r="CO301" s="23"/>
      <c r="CP301" s="226"/>
      <c r="CQ301" s="169"/>
      <c r="CR301" s="170"/>
      <c r="CS301" s="23"/>
      <c r="CT301" s="169"/>
      <c r="DH301" s="232"/>
      <c r="DI301" s="234"/>
      <c r="DJ301" s="234"/>
      <c r="DK301" s="235"/>
      <c r="DL301" s="236"/>
      <c r="DM301" s="236"/>
      <c r="DN301" s="236"/>
      <c r="EF301" s="19"/>
      <c r="EG301" s="18"/>
      <c r="EH301" s="18"/>
      <c r="EI301" s="18"/>
      <c r="EX301" s="27"/>
      <c r="EY301" s="18"/>
      <c r="EZ301" s="20"/>
      <c r="FA301" s="18"/>
    </row>
    <row r="302" spans="46:157" x14ac:dyDescent="0.3">
      <c r="AT302" s="44" t="str">
        <f t="shared" si="119"/>
        <v>11_12T.L8.W</v>
      </c>
      <c r="AU302" s="18" t="s">
        <v>68</v>
      </c>
      <c r="AV302" s="18" t="s">
        <v>825</v>
      </c>
      <c r="AW302" s="20" t="s">
        <v>113</v>
      </c>
      <c r="AX302" s="228">
        <v>1220115</v>
      </c>
      <c r="AY302" s="229">
        <v>0</v>
      </c>
      <c r="BA302" s="91"/>
      <c r="CK302" s="160"/>
      <c r="CL302" s="18"/>
      <c r="CM302" s="18"/>
      <c r="CN302" s="18"/>
      <c r="CO302" s="23"/>
      <c r="CP302" s="226"/>
      <c r="CQ302" s="169"/>
      <c r="CR302" s="170"/>
      <c r="CS302" s="23"/>
      <c r="CT302" s="169"/>
      <c r="DH302" s="232"/>
      <c r="DI302" s="234"/>
      <c r="DJ302" s="234"/>
      <c r="DK302" s="235"/>
      <c r="DL302" s="236"/>
      <c r="DM302" s="236"/>
      <c r="DN302" s="236"/>
      <c r="EF302" s="19"/>
      <c r="EG302" s="18"/>
      <c r="EH302" s="18"/>
      <c r="EI302" s="20"/>
      <c r="EX302" s="27"/>
      <c r="EY302" s="18"/>
      <c r="EZ302" s="20"/>
      <c r="FA302" s="18"/>
    </row>
    <row r="303" spans="46:157" x14ac:dyDescent="0.3">
      <c r="AT303" s="44" t="str">
        <f t="shared" si="119"/>
        <v>11_13T.L8.W</v>
      </c>
      <c r="AU303" s="18" t="s">
        <v>68</v>
      </c>
      <c r="AV303" s="18" t="s">
        <v>857</v>
      </c>
      <c r="AW303" s="20" t="s">
        <v>113</v>
      </c>
      <c r="AX303" s="228">
        <v>1220115</v>
      </c>
      <c r="AY303" s="229">
        <v>0</v>
      </c>
      <c r="BA303" s="91"/>
      <c r="CK303" s="160"/>
      <c r="CL303" s="18"/>
      <c r="CM303" s="18"/>
      <c r="CN303" s="18"/>
      <c r="CO303" s="23"/>
      <c r="CP303" s="226"/>
      <c r="CQ303" s="169"/>
      <c r="CR303" s="170"/>
      <c r="CS303" s="23"/>
      <c r="CT303" s="169"/>
      <c r="DH303" s="232"/>
      <c r="DI303" s="234"/>
      <c r="DJ303" s="234"/>
      <c r="DK303" s="235"/>
      <c r="DL303" s="236"/>
      <c r="DM303" s="236"/>
      <c r="DN303" s="236"/>
      <c r="EF303" s="19"/>
      <c r="EG303" s="18"/>
      <c r="EH303" s="18"/>
      <c r="EI303" s="20"/>
      <c r="EX303" s="27"/>
      <c r="EY303" s="18"/>
      <c r="EZ303" s="20"/>
      <c r="FA303" s="18"/>
    </row>
    <row r="304" spans="46:157" x14ac:dyDescent="0.3">
      <c r="AT304" s="44" t="str">
        <f t="shared" si="119"/>
        <v>11_14T.L8.W</v>
      </c>
      <c r="AU304" s="18" t="s">
        <v>68</v>
      </c>
      <c r="AV304" s="18" t="s">
        <v>900</v>
      </c>
      <c r="AW304" s="20" t="s">
        <v>113</v>
      </c>
      <c r="AX304" s="228">
        <v>1220115</v>
      </c>
      <c r="AY304" s="229">
        <v>0</v>
      </c>
      <c r="BA304" s="91"/>
      <c r="CK304" s="160"/>
      <c r="CL304" s="18"/>
      <c r="CM304" s="18"/>
      <c r="CN304" s="18"/>
      <c r="CO304" s="23"/>
      <c r="CP304" s="226"/>
      <c r="CQ304" s="169"/>
      <c r="CR304" s="170"/>
      <c r="CS304" s="23"/>
      <c r="CT304" s="169"/>
      <c r="DH304" s="232"/>
      <c r="DI304" s="234"/>
      <c r="DJ304" s="234"/>
      <c r="DK304" s="235"/>
      <c r="DL304" s="236"/>
      <c r="DM304" s="236"/>
      <c r="DN304" s="236"/>
      <c r="EF304" s="21"/>
      <c r="EG304" s="18"/>
      <c r="EH304" s="18"/>
      <c r="EI304" s="20"/>
      <c r="EX304" s="27"/>
      <c r="EY304" s="18"/>
      <c r="EZ304" s="20"/>
      <c r="FA304" s="18"/>
    </row>
    <row r="305" spans="46:157" x14ac:dyDescent="0.3">
      <c r="AT305" s="44" t="str">
        <f t="shared" si="119"/>
        <v>12_13T.L8.W</v>
      </c>
      <c r="AU305" s="18" t="s">
        <v>68</v>
      </c>
      <c r="AV305" s="18" t="s">
        <v>865</v>
      </c>
      <c r="AW305" s="20" t="s">
        <v>113</v>
      </c>
      <c r="AX305" s="228">
        <v>1220115</v>
      </c>
      <c r="AY305" s="229">
        <v>0</v>
      </c>
      <c r="BA305" s="91"/>
      <c r="CK305" s="160"/>
      <c r="CL305" s="18"/>
      <c r="CM305" s="18"/>
      <c r="CN305" s="18"/>
      <c r="CO305" s="23"/>
      <c r="CP305" s="226"/>
      <c r="CQ305" s="169"/>
      <c r="CR305" s="170"/>
      <c r="CS305" s="23"/>
      <c r="CT305" s="169"/>
      <c r="DH305" s="232"/>
      <c r="DI305" s="234"/>
      <c r="DJ305" s="234"/>
      <c r="DK305" s="235"/>
      <c r="DL305" s="236"/>
      <c r="DM305" s="236"/>
      <c r="DN305" s="236"/>
      <c r="EF305" s="21"/>
      <c r="EG305" s="18"/>
      <c r="EH305" s="18"/>
      <c r="EI305" s="20"/>
      <c r="EX305" s="27"/>
      <c r="EY305" s="18"/>
      <c r="EZ305" s="20"/>
      <c r="FA305" s="18"/>
    </row>
    <row r="306" spans="46:157" x14ac:dyDescent="0.3">
      <c r="AT306" s="44" t="str">
        <f t="shared" si="119"/>
        <v>12_14F.L8.W</v>
      </c>
      <c r="AU306" s="18" t="s">
        <v>68</v>
      </c>
      <c r="AV306" s="18" t="s">
        <v>583</v>
      </c>
      <c r="AW306" s="20" t="s">
        <v>113</v>
      </c>
      <c r="AX306" s="228">
        <v>1220115</v>
      </c>
      <c r="AY306" s="229">
        <v>0</v>
      </c>
      <c r="BA306" s="91"/>
      <c r="CK306" s="160"/>
      <c r="CL306" s="18"/>
      <c r="CM306" s="18"/>
      <c r="CN306" s="18"/>
      <c r="CO306" s="23"/>
      <c r="CP306" s="226"/>
      <c r="CQ306" s="169"/>
      <c r="CR306" s="170"/>
      <c r="CS306" s="23"/>
      <c r="CT306" s="169"/>
      <c r="DH306" s="232"/>
      <c r="DI306" s="234"/>
      <c r="DJ306" s="234"/>
      <c r="DK306" s="235"/>
      <c r="DL306" s="236"/>
      <c r="DM306" s="236"/>
      <c r="DN306" s="236"/>
      <c r="EF306" s="19"/>
      <c r="EG306" s="18"/>
      <c r="EH306" s="18"/>
      <c r="EI306" s="20"/>
      <c r="EX306" s="27"/>
      <c r="EY306" s="18"/>
      <c r="EZ306" s="20"/>
      <c r="FA306" s="18"/>
    </row>
    <row r="307" spans="46:157" x14ac:dyDescent="0.3">
      <c r="AT307" s="44" t="str">
        <f t="shared" si="119"/>
        <v>12_14T.L8.W</v>
      </c>
      <c r="AU307" s="18" t="s">
        <v>68</v>
      </c>
      <c r="AV307" s="18" t="s">
        <v>913</v>
      </c>
      <c r="AW307" s="20" t="s">
        <v>113</v>
      </c>
      <c r="AX307" s="228">
        <v>1220115</v>
      </c>
      <c r="AY307" s="229">
        <v>0</v>
      </c>
      <c r="BA307" s="91"/>
      <c r="CK307" s="160"/>
      <c r="CL307" s="18"/>
      <c r="CM307" s="18"/>
      <c r="CN307" s="18"/>
      <c r="CO307" s="23"/>
      <c r="CP307" s="226"/>
      <c r="CQ307" s="169"/>
      <c r="CR307" s="170"/>
      <c r="CS307" s="23"/>
      <c r="CT307" s="169"/>
      <c r="DH307" s="232"/>
      <c r="DI307" s="234"/>
      <c r="DJ307" s="234"/>
      <c r="DK307" s="235"/>
      <c r="DL307" s="236"/>
      <c r="DM307" s="236"/>
      <c r="DN307" s="236"/>
      <c r="EF307" s="21"/>
      <c r="EG307" s="18"/>
      <c r="EH307" s="18"/>
      <c r="EI307" s="20"/>
      <c r="EX307" s="27"/>
      <c r="EY307" s="18"/>
      <c r="EZ307" s="20"/>
      <c r="FA307" s="18"/>
    </row>
    <row r="308" spans="46:157" x14ac:dyDescent="0.3">
      <c r="AT308" s="44" t="str">
        <f t="shared" si="119"/>
        <v>12_15T.L8.W</v>
      </c>
      <c r="AU308" s="18" t="s">
        <v>68</v>
      </c>
      <c r="AV308" s="18" t="s">
        <v>941</v>
      </c>
      <c r="AW308" s="20" t="s">
        <v>113</v>
      </c>
      <c r="AX308" s="228">
        <v>1220115</v>
      </c>
      <c r="AY308" s="229">
        <v>0</v>
      </c>
      <c r="BA308" s="91"/>
      <c r="CK308" s="160"/>
      <c r="CL308" s="18"/>
      <c r="CM308" s="18"/>
      <c r="CN308" s="18"/>
      <c r="CO308" s="23"/>
      <c r="CP308" s="226"/>
      <c r="CQ308" s="169"/>
      <c r="CR308" s="170"/>
      <c r="CS308" s="23"/>
      <c r="CT308" s="169"/>
      <c r="DH308" s="232"/>
      <c r="DI308" s="234"/>
      <c r="DJ308" s="234"/>
      <c r="DK308" s="235"/>
      <c r="DL308" s="236"/>
      <c r="DM308" s="236"/>
      <c r="DN308" s="236"/>
      <c r="EF308" s="21"/>
      <c r="EG308" s="18"/>
      <c r="EH308" s="18"/>
      <c r="EI308" s="18"/>
      <c r="EX308" s="27"/>
      <c r="EY308" s="18"/>
      <c r="EZ308" s="20"/>
      <c r="FA308" s="18"/>
    </row>
    <row r="309" spans="46:157" x14ac:dyDescent="0.3">
      <c r="AT309" s="44" t="str">
        <f t="shared" si="119"/>
        <v>12_18B.L8.W</v>
      </c>
      <c r="AU309" s="18" t="s">
        <v>68</v>
      </c>
      <c r="AV309" s="18" t="s">
        <v>133</v>
      </c>
      <c r="AW309" s="20" t="s">
        <v>113</v>
      </c>
      <c r="AX309" s="228">
        <v>1220115</v>
      </c>
      <c r="AY309" s="229">
        <v>0</v>
      </c>
      <c r="BA309" s="91"/>
      <c r="CK309" s="160"/>
      <c r="CL309" s="18"/>
      <c r="CM309" s="18"/>
      <c r="CN309" s="18"/>
      <c r="CO309" s="23"/>
      <c r="CP309" s="226"/>
      <c r="CQ309" s="169"/>
      <c r="CR309" s="170"/>
      <c r="CS309" s="23"/>
      <c r="CT309" s="169"/>
      <c r="DH309" s="232"/>
      <c r="DI309" s="234"/>
      <c r="DJ309" s="234"/>
      <c r="DK309" s="235"/>
      <c r="DL309" s="236"/>
      <c r="DM309" s="236"/>
      <c r="DN309" s="236"/>
      <c r="EF309" s="21"/>
      <c r="EG309" s="18"/>
      <c r="EH309" s="18"/>
      <c r="EI309" s="20"/>
      <c r="EX309" s="27"/>
      <c r="EY309" s="18"/>
      <c r="EZ309" s="20"/>
      <c r="FA309" s="18"/>
    </row>
    <row r="310" spans="46:157" x14ac:dyDescent="0.3">
      <c r="AT310" s="44" t="str">
        <f t="shared" si="119"/>
        <v>12_20B.L8.W</v>
      </c>
      <c r="AU310" s="18" t="s">
        <v>68</v>
      </c>
      <c r="AV310" s="18" t="s">
        <v>217</v>
      </c>
      <c r="AW310" s="20" t="s">
        <v>113</v>
      </c>
      <c r="AX310" s="228">
        <v>1220115</v>
      </c>
      <c r="AY310" s="229">
        <v>0</v>
      </c>
      <c r="BA310" s="91"/>
      <c r="CK310" s="160"/>
      <c r="CL310" s="18"/>
      <c r="CM310" s="18"/>
      <c r="CN310" s="18"/>
      <c r="CO310" s="23"/>
      <c r="CP310" s="226"/>
      <c r="CQ310" s="169"/>
      <c r="CR310" s="170"/>
      <c r="CS310" s="23"/>
      <c r="CT310" s="169"/>
      <c r="DH310" s="232"/>
      <c r="DI310" s="234"/>
      <c r="DJ310" s="234"/>
      <c r="DK310" s="235"/>
      <c r="DL310" s="236"/>
      <c r="DM310" s="236"/>
      <c r="DN310" s="236"/>
      <c r="EF310" s="21"/>
      <c r="EG310" s="18"/>
      <c r="EH310" s="18"/>
      <c r="EI310" s="20"/>
      <c r="EX310" s="27"/>
      <c r="EY310" s="18"/>
      <c r="EZ310" s="20"/>
      <c r="FA310" s="18"/>
    </row>
    <row r="311" spans="46:157" x14ac:dyDescent="0.3">
      <c r="AT311" s="44" t="str">
        <f t="shared" si="119"/>
        <v>12_22B.L8.W</v>
      </c>
      <c r="AU311" s="18" t="s">
        <v>68</v>
      </c>
      <c r="AV311" s="18" t="s">
        <v>330</v>
      </c>
      <c r="AW311" s="20" t="s">
        <v>113</v>
      </c>
      <c r="AX311" s="228">
        <v>1220115</v>
      </c>
      <c r="AY311" s="229">
        <v>0</v>
      </c>
      <c r="BA311" s="91"/>
      <c r="CK311" s="160"/>
      <c r="CL311" s="18"/>
      <c r="CM311" s="18"/>
      <c r="CN311" s="18"/>
      <c r="CO311" s="23"/>
      <c r="CP311" s="226"/>
      <c r="CQ311" s="169"/>
      <c r="CR311" s="170"/>
      <c r="CS311" s="23"/>
      <c r="CT311" s="169"/>
      <c r="DH311" s="232"/>
      <c r="DI311" s="234"/>
      <c r="DJ311" s="234"/>
      <c r="DK311" s="235"/>
      <c r="DL311" s="236"/>
      <c r="DM311" s="236"/>
      <c r="DN311" s="236"/>
      <c r="EF311" s="21"/>
      <c r="EG311" s="18"/>
      <c r="EH311" s="18"/>
      <c r="EI311" s="20"/>
      <c r="EX311" s="27"/>
      <c r="EY311" s="18"/>
      <c r="EZ311" s="20"/>
      <c r="FA311" s="18"/>
    </row>
    <row r="312" spans="46:157" x14ac:dyDescent="0.3">
      <c r="AT312" s="44" t="str">
        <f t="shared" si="119"/>
        <v>12_24B.L8.W</v>
      </c>
      <c r="AU312" s="18" t="s">
        <v>68</v>
      </c>
      <c r="AV312" s="18" t="s">
        <v>413</v>
      </c>
      <c r="AW312" s="20" t="s">
        <v>113</v>
      </c>
      <c r="AX312" s="228">
        <v>1220115</v>
      </c>
      <c r="AY312" s="229">
        <v>0</v>
      </c>
      <c r="BA312" s="91"/>
      <c r="CK312" s="160"/>
      <c r="CL312" s="18"/>
      <c r="CM312" s="18"/>
      <c r="CN312" s="18"/>
      <c r="CO312" s="23"/>
      <c r="CP312" s="226"/>
      <c r="CQ312" s="169"/>
      <c r="CR312" s="170"/>
      <c r="CS312" s="23"/>
      <c r="CT312" s="169"/>
      <c r="DH312" s="232"/>
      <c r="DI312" s="234"/>
      <c r="DJ312" s="234"/>
      <c r="DK312" s="235"/>
      <c r="DL312" s="236"/>
      <c r="DM312" s="236"/>
      <c r="DN312" s="236"/>
      <c r="EF312" s="21"/>
      <c r="EG312" s="18"/>
      <c r="EH312" s="18"/>
      <c r="EI312" s="18"/>
      <c r="EX312" s="27"/>
      <c r="EY312" s="18"/>
      <c r="EZ312" s="20"/>
      <c r="FA312" s="18"/>
    </row>
    <row r="313" spans="46:157" x14ac:dyDescent="0.3">
      <c r="AT313" s="44" t="str">
        <f t="shared" si="119"/>
        <v>12_26B.L8.W</v>
      </c>
      <c r="AU313" s="18" t="s">
        <v>68</v>
      </c>
      <c r="AV313" s="18" t="s">
        <v>494</v>
      </c>
      <c r="AW313" s="20" t="s">
        <v>113</v>
      </c>
      <c r="AX313" s="228">
        <v>1220115</v>
      </c>
      <c r="AY313" s="229">
        <v>0</v>
      </c>
      <c r="BA313" s="91"/>
      <c r="CK313" s="160"/>
      <c r="CL313" s="18"/>
      <c r="CM313" s="18"/>
      <c r="CN313" s="18"/>
      <c r="CO313" s="23"/>
      <c r="CP313" s="226"/>
      <c r="CQ313" s="169"/>
      <c r="CR313" s="170"/>
      <c r="CS313" s="23"/>
      <c r="CT313" s="169"/>
      <c r="DH313" s="232"/>
      <c r="DI313" s="234"/>
      <c r="DJ313" s="234"/>
      <c r="DK313" s="235"/>
      <c r="DL313" s="236"/>
      <c r="DM313" s="236"/>
      <c r="DN313" s="236"/>
      <c r="EF313" s="19"/>
      <c r="EG313" s="18"/>
      <c r="EH313" s="18"/>
      <c r="EI313" s="18"/>
      <c r="EX313" s="27"/>
      <c r="EY313" s="18"/>
      <c r="EZ313" s="20"/>
      <c r="FA313" s="18"/>
    </row>
    <row r="314" spans="46:157" x14ac:dyDescent="0.3">
      <c r="AT314" s="44" t="str">
        <f t="shared" si="119"/>
        <v>13_14F.L8.W</v>
      </c>
      <c r="AU314" s="18" t="s">
        <v>68</v>
      </c>
      <c r="AV314" s="18" t="s">
        <v>602</v>
      </c>
      <c r="AW314" s="20" t="s">
        <v>113</v>
      </c>
      <c r="AX314" s="228">
        <v>1220115</v>
      </c>
      <c r="AY314" s="229">
        <v>0</v>
      </c>
      <c r="BA314" s="91"/>
      <c r="CK314" s="160"/>
      <c r="CL314" s="18"/>
      <c r="CM314" s="18"/>
      <c r="CN314" s="18"/>
      <c r="CO314" s="23"/>
      <c r="CP314" s="226"/>
      <c r="CQ314" s="169"/>
      <c r="CR314" s="170"/>
      <c r="CS314" s="23"/>
      <c r="CT314" s="169"/>
      <c r="DH314" s="232"/>
      <c r="DI314" s="234"/>
      <c r="DJ314" s="234"/>
      <c r="DK314" s="235"/>
      <c r="DL314" s="236"/>
      <c r="DM314" s="236"/>
      <c r="DN314" s="236"/>
      <c r="EF314" s="21"/>
      <c r="EG314" s="18"/>
      <c r="EH314" s="18"/>
      <c r="EI314" s="18"/>
      <c r="EX314" s="27"/>
      <c r="EY314" s="18"/>
      <c r="EZ314" s="20"/>
      <c r="FA314" s="18"/>
    </row>
    <row r="315" spans="46:157" x14ac:dyDescent="0.3">
      <c r="AT315" s="44" t="str">
        <f t="shared" si="119"/>
        <v>13_14T.L8.W</v>
      </c>
      <c r="AU315" s="18" t="s">
        <v>68</v>
      </c>
      <c r="AV315" s="18" t="s">
        <v>926</v>
      </c>
      <c r="AW315" s="20" t="s">
        <v>113</v>
      </c>
      <c r="AX315" s="228">
        <v>1220115</v>
      </c>
      <c r="AY315" s="229">
        <v>0</v>
      </c>
      <c r="BA315" s="91"/>
      <c r="CK315" s="160"/>
      <c r="CL315" s="18"/>
      <c r="CM315" s="18"/>
      <c r="CN315" s="18"/>
      <c r="CO315" s="23"/>
      <c r="CP315" s="226"/>
      <c r="CQ315" s="169"/>
      <c r="CR315" s="170"/>
      <c r="CS315" s="23"/>
      <c r="CT315" s="169"/>
      <c r="DH315" s="232"/>
      <c r="DI315" s="234"/>
      <c r="DJ315" s="234"/>
      <c r="DK315" s="235"/>
      <c r="DL315" s="236"/>
      <c r="DM315" s="236"/>
      <c r="DN315" s="236"/>
      <c r="EF315" s="21"/>
      <c r="EG315" s="18"/>
      <c r="EH315" s="18"/>
      <c r="EI315" s="18"/>
      <c r="EX315" s="27"/>
      <c r="EY315" s="18"/>
      <c r="EZ315" s="20"/>
      <c r="FA315" s="18"/>
    </row>
    <row r="316" spans="46:157" x14ac:dyDescent="0.3">
      <c r="AT316" s="44" t="str">
        <f t="shared" si="119"/>
        <v>13_15F.L8.W</v>
      </c>
      <c r="AU316" s="18" t="s">
        <v>68</v>
      </c>
      <c r="AV316" s="18" t="s">
        <v>630</v>
      </c>
      <c r="AW316" s="20" t="s">
        <v>113</v>
      </c>
      <c r="AX316" s="228">
        <v>1220115</v>
      </c>
      <c r="AY316" s="229">
        <v>0</v>
      </c>
      <c r="BA316" s="91"/>
      <c r="CK316" s="160"/>
      <c r="CL316" s="18"/>
      <c r="CM316" s="18"/>
      <c r="CN316" s="18"/>
      <c r="CO316" s="23"/>
      <c r="CP316" s="226"/>
      <c r="CQ316" s="169"/>
      <c r="CR316" s="170"/>
      <c r="CS316" s="23"/>
      <c r="CT316" s="169"/>
      <c r="DH316" s="232"/>
      <c r="DI316" s="234"/>
      <c r="DJ316" s="234"/>
      <c r="DK316" s="235"/>
      <c r="DL316" s="236"/>
      <c r="DM316" s="236"/>
      <c r="DN316" s="236"/>
      <c r="EF316" s="21"/>
      <c r="EG316" s="18"/>
      <c r="EH316" s="18"/>
      <c r="EI316" s="20"/>
      <c r="EX316" s="27"/>
      <c r="EY316" s="18"/>
      <c r="EZ316" s="20"/>
      <c r="FA316" s="18"/>
    </row>
    <row r="317" spans="46:157" x14ac:dyDescent="0.3">
      <c r="AT317" s="44" t="str">
        <f t="shared" si="119"/>
        <v>13_15T.L8.W</v>
      </c>
      <c r="AU317" s="18" t="s">
        <v>68</v>
      </c>
      <c r="AV317" s="18" t="s">
        <v>949</v>
      </c>
      <c r="AW317" s="20" t="s">
        <v>113</v>
      </c>
      <c r="AX317" s="228">
        <v>1220115</v>
      </c>
      <c r="AY317" s="229">
        <v>0</v>
      </c>
      <c r="BA317" s="91"/>
      <c r="CK317" s="160"/>
      <c r="CL317" s="18"/>
      <c r="CM317" s="18"/>
      <c r="CN317" s="18"/>
      <c r="CO317" s="23"/>
      <c r="CP317" s="226"/>
      <c r="CQ317" s="169"/>
      <c r="CR317" s="170"/>
      <c r="CS317" s="23"/>
      <c r="CT317" s="169"/>
      <c r="DH317" s="232"/>
      <c r="DI317" s="234"/>
      <c r="DJ317" s="234"/>
      <c r="DK317" s="235"/>
      <c r="DL317" s="236"/>
      <c r="DM317" s="236"/>
      <c r="DN317" s="236"/>
      <c r="EF317" s="19"/>
      <c r="EG317" s="18"/>
      <c r="EH317" s="18"/>
      <c r="EI317" s="18"/>
      <c r="EX317" s="27"/>
      <c r="EY317" s="18"/>
      <c r="EZ317" s="20"/>
      <c r="FA317" s="18"/>
    </row>
    <row r="318" spans="46:157" x14ac:dyDescent="0.3">
      <c r="AT318" s="44" t="str">
        <f t="shared" si="119"/>
        <v>13_16F.L8.W</v>
      </c>
      <c r="AU318" s="18" t="s">
        <v>68</v>
      </c>
      <c r="AV318" s="18" t="s">
        <v>665</v>
      </c>
      <c r="AW318" s="20" t="s">
        <v>113</v>
      </c>
      <c r="AX318" s="228">
        <v>1220115</v>
      </c>
      <c r="AY318" s="229">
        <v>0</v>
      </c>
      <c r="BA318" s="91"/>
      <c r="CK318" s="160"/>
      <c r="CL318" s="18"/>
      <c r="CM318" s="18"/>
      <c r="CN318" s="18"/>
      <c r="CO318" s="23"/>
      <c r="CP318" s="226"/>
      <c r="CQ318" s="169"/>
      <c r="CR318" s="170"/>
      <c r="CS318" s="23"/>
      <c r="CT318" s="169"/>
      <c r="DH318" s="232"/>
      <c r="DI318" s="234"/>
      <c r="DJ318" s="234"/>
      <c r="DK318" s="235"/>
      <c r="DL318" s="236"/>
      <c r="DM318" s="236"/>
      <c r="DN318" s="236"/>
      <c r="EF318" s="19"/>
      <c r="EG318" s="18"/>
      <c r="EH318" s="18"/>
      <c r="EI318" s="18"/>
      <c r="EX318" s="27"/>
      <c r="EY318" s="18"/>
      <c r="EZ318" s="20"/>
      <c r="FA318" s="18"/>
    </row>
    <row r="319" spans="46:157" x14ac:dyDescent="0.3">
      <c r="AT319" s="44" t="str">
        <f t="shared" si="119"/>
        <v>14_14F.L8.W</v>
      </c>
      <c r="AU319" s="18" t="s">
        <v>68</v>
      </c>
      <c r="AV319" s="18" t="s">
        <v>616</v>
      </c>
      <c r="AW319" s="20" t="s">
        <v>113</v>
      </c>
      <c r="AX319" s="228">
        <v>1220115</v>
      </c>
      <c r="AY319" s="229">
        <v>0</v>
      </c>
      <c r="BA319" s="91"/>
      <c r="CK319" s="160"/>
      <c r="CL319" s="18"/>
      <c r="CM319" s="18"/>
      <c r="CN319" s="18"/>
      <c r="CO319" s="23"/>
      <c r="CP319" s="226"/>
      <c r="CQ319" s="169"/>
      <c r="CR319" s="170"/>
      <c r="CS319" s="23"/>
      <c r="CT319" s="169"/>
      <c r="DH319" s="232"/>
      <c r="DI319" s="234"/>
      <c r="DJ319" s="234"/>
      <c r="DK319" s="235"/>
      <c r="DL319" s="236"/>
      <c r="DM319" s="236"/>
      <c r="DN319" s="236"/>
      <c r="EF319" s="19"/>
      <c r="EG319" s="18"/>
      <c r="EH319" s="18"/>
      <c r="EI319" s="20"/>
      <c r="EX319" s="27"/>
      <c r="EY319" s="18"/>
      <c r="EZ319" s="20"/>
      <c r="FA319" s="18"/>
    </row>
    <row r="320" spans="46:157" x14ac:dyDescent="0.3">
      <c r="AT320" s="44" t="str">
        <f t="shared" si="119"/>
        <v>14_14T.L8.W</v>
      </c>
      <c r="AU320" s="18" t="s">
        <v>68</v>
      </c>
      <c r="AV320" s="18" t="s">
        <v>933</v>
      </c>
      <c r="AW320" s="20" t="s">
        <v>113</v>
      </c>
      <c r="AX320" s="228">
        <v>1220115</v>
      </c>
      <c r="AY320" s="229">
        <v>0</v>
      </c>
      <c r="BA320" s="91"/>
      <c r="CK320" s="160"/>
      <c r="CL320" s="18"/>
      <c r="CM320" s="18"/>
      <c r="CN320" s="18"/>
      <c r="CO320" s="23"/>
      <c r="CP320" s="226"/>
      <c r="CQ320" s="169"/>
      <c r="CR320" s="170"/>
      <c r="CS320" s="23"/>
      <c r="CT320" s="169"/>
      <c r="DH320" s="232"/>
      <c r="DI320" s="234"/>
      <c r="DJ320" s="234"/>
      <c r="DK320" s="235"/>
      <c r="DL320" s="236"/>
      <c r="DM320" s="236"/>
      <c r="DN320" s="236"/>
      <c r="EF320" s="19"/>
      <c r="EG320" s="18"/>
      <c r="EH320" s="18"/>
      <c r="EI320" s="20"/>
      <c r="EX320" s="27"/>
      <c r="EY320" s="18"/>
      <c r="EZ320" s="20"/>
      <c r="FA320" s="18"/>
    </row>
    <row r="321" spans="46:157" x14ac:dyDescent="0.3">
      <c r="AT321" s="44" t="str">
        <f t="shared" si="119"/>
        <v>14_15F.L8.W</v>
      </c>
      <c r="AU321" s="18" t="s">
        <v>68</v>
      </c>
      <c r="AV321" s="18" t="s">
        <v>647</v>
      </c>
      <c r="AW321" s="20" t="s">
        <v>113</v>
      </c>
      <c r="AX321" s="228">
        <v>1220115</v>
      </c>
      <c r="AY321" s="229">
        <v>0</v>
      </c>
      <c r="BA321" s="91"/>
      <c r="CK321" s="160"/>
      <c r="CL321" s="18"/>
      <c r="CM321" s="18"/>
      <c r="CN321" s="18"/>
      <c r="CO321" s="23"/>
      <c r="CP321" s="226"/>
      <c r="CQ321" s="169"/>
      <c r="CR321" s="170"/>
      <c r="CS321" s="23"/>
      <c r="CT321" s="169"/>
      <c r="DH321" s="232"/>
      <c r="DI321" s="234"/>
      <c r="DJ321" s="234"/>
      <c r="DK321" s="235"/>
      <c r="DL321" s="236"/>
      <c r="DM321" s="236"/>
      <c r="DN321" s="236"/>
      <c r="EF321" s="21"/>
      <c r="EG321" s="18"/>
      <c r="EH321" s="18"/>
      <c r="EI321" s="18"/>
      <c r="EX321" s="27"/>
      <c r="EY321" s="18"/>
      <c r="EZ321" s="20"/>
      <c r="FA321" s="18"/>
    </row>
    <row r="322" spans="46:157" x14ac:dyDescent="0.3">
      <c r="AT322" s="44" t="str">
        <f t="shared" si="119"/>
        <v>14_15T.L8.W</v>
      </c>
      <c r="AU322" s="18" t="s">
        <v>68</v>
      </c>
      <c r="AV322" s="18" t="s">
        <v>956</v>
      </c>
      <c r="AW322" s="20" t="s">
        <v>113</v>
      </c>
      <c r="AX322" s="228">
        <v>1220115</v>
      </c>
      <c r="AY322" s="229">
        <v>0</v>
      </c>
      <c r="BA322" s="91"/>
      <c r="CK322" s="160"/>
      <c r="CL322" s="18"/>
      <c r="CM322" s="18"/>
      <c r="CN322" s="18"/>
      <c r="CO322" s="23"/>
      <c r="CP322" s="226"/>
      <c r="CQ322" s="169"/>
      <c r="CR322" s="170"/>
      <c r="CS322" s="23"/>
      <c r="CT322" s="169"/>
      <c r="DH322" s="232"/>
      <c r="DI322" s="234"/>
      <c r="DJ322" s="234"/>
      <c r="DK322" s="235"/>
      <c r="DL322" s="236"/>
      <c r="DM322" s="236"/>
      <c r="DN322" s="236"/>
      <c r="EF322" s="19"/>
      <c r="EG322" s="18"/>
      <c r="EH322" s="18"/>
      <c r="EI322" s="18"/>
      <c r="EX322" s="27"/>
      <c r="EY322" s="18"/>
      <c r="EZ322" s="20"/>
      <c r="FA322" s="18"/>
    </row>
    <row r="323" spans="46:157" x14ac:dyDescent="0.3">
      <c r="AT323" s="44" t="str">
        <f t="shared" si="119"/>
        <v>14_16F.L8.W</v>
      </c>
      <c r="AU323" s="18" t="s">
        <v>68</v>
      </c>
      <c r="AV323" s="18" t="s">
        <v>681</v>
      </c>
      <c r="AW323" s="20" t="s">
        <v>113</v>
      </c>
      <c r="AX323" s="228">
        <v>1220115</v>
      </c>
      <c r="AY323" s="229">
        <v>0</v>
      </c>
      <c r="BA323" s="91"/>
      <c r="CK323" s="160"/>
      <c r="CL323" s="18"/>
      <c r="CM323" s="18"/>
      <c r="CN323" s="18"/>
      <c r="CO323" s="23"/>
      <c r="CP323" s="226"/>
      <c r="CQ323" s="169"/>
      <c r="CR323" s="170"/>
      <c r="CS323" s="23"/>
      <c r="CT323" s="169"/>
      <c r="DH323" s="232"/>
      <c r="DI323" s="234"/>
      <c r="DJ323" s="234"/>
      <c r="DK323" s="235"/>
      <c r="DL323" s="236"/>
      <c r="DM323" s="236"/>
      <c r="DN323" s="236"/>
      <c r="EF323" s="19"/>
      <c r="EG323" s="18"/>
      <c r="EH323" s="18"/>
      <c r="EI323" s="18"/>
      <c r="EX323" s="27"/>
      <c r="EY323" s="18"/>
      <c r="EZ323" s="20"/>
      <c r="FA323" s="18"/>
    </row>
    <row r="324" spans="46:157" x14ac:dyDescent="0.3">
      <c r="AT324" s="44" t="str">
        <f t="shared" si="119"/>
        <v>14_16T.L8.W</v>
      </c>
      <c r="AU324" s="18" t="s">
        <v>68</v>
      </c>
      <c r="AV324" s="18" t="s">
        <v>970</v>
      </c>
      <c r="AW324" s="20" t="s">
        <v>113</v>
      </c>
      <c r="AX324" s="228">
        <v>1220115</v>
      </c>
      <c r="AY324" s="229">
        <v>0</v>
      </c>
      <c r="BA324" s="91"/>
      <c r="CK324" s="160"/>
      <c r="CL324" s="18"/>
      <c r="CM324" s="18"/>
      <c r="CN324" s="18"/>
      <c r="CO324" s="23"/>
      <c r="CP324" s="226"/>
      <c r="CQ324" s="169"/>
      <c r="CR324" s="170"/>
      <c r="CS324" s="23"/>
      <c r="CT324" s="169"/>
      <c r="DH324" s="232"/>
      <c r="DI324" s="234"/>
      <c r="DJ324" s="234"/>
      <c r="DK324" s="235"/>
      <c r="DL324" s="236"/>
      <c r="DM324" s="236"/>
      <c r="DN324" s="236"/>
      <c r="EF324" s="21"/>
      <c r="EG324" s="18"/>
      <c r="EH324" s="18"/>
      <c r="EI324" s="18"/>
      <c r="EX324" s="27"/>
      <c r="EY324" s="18"/>
      <c r="EZ324" s="20"/>
      <c r="FA324" s="18"/>
    </row>
    <row r="325" spans="46:157" x14ac:dyDescent="0.3">
      <c r="AT325" s="44" t="str">
        <f t="shared" si="119"/>
        <v>14_18B.L8.W</v>
      </c>
      <c r="AU325" s="18" t="s">
        <v>68</v>
      </c>
      <c r="AV325" s="18" t="s">
        <v>160</v>
      </c>
      <c r="AW325" s="20" t="s">
        <v>113</v>
      </c>
      <c r="AX325" s="228">
        <v>1220115</v>
      </c>
      <c r="AY325" s="229">
        <v>0</v>
      </c>
      <c r="BA325" s="91"/>
      <c r="CK325" s="160"/>
      <c r="CL325" s="18"/>
      <c r="CM325" s="18"/>
      <c r="CN325" s="18"/>
      <c r="CO325" s="23"/>
      <c r="CP325" s="226"/>
      <c r="CQ325" s="169"/>
      <c r="CR325" s="170"/>
      <c r="CS325" s="23"/>
      <c r="CT325" s="169"/>
      <c r="DH325" s="232"/>
      <c r="DI325" s="234"/>
      <c r="DJ325" s="234"/>
      <c r="DK325" s="235"/>
      <c r="DL325" s="236"/>
      <c r="DM325" s="236"/>
      <c r="DN325" s="236"/>
      <c r="EF325" s="21"/>
      <c r="EG325" s="18"/>
      <c r="EH325" s="18"/>
      <c r="EI325" s="18"/>
      <c r="EX325" s="27"/>
      <c r="EY325" s="18"/>
      <c r="EZ325" s="20"/>
      <c r="FA325" s="18"/>
    </row>
    <row r="326" spans="46:157" x14ac:dyDescent="0.3">
      <c r="AT326" s="44" t="str">
        <f t="shared" si="119"/>
        <v>14_20B.L8.W</v>
      </c>
      <c r="AU326" s="18" t="s">
        <v>68</v>
      </c>
      <c r="AV326" s="18" t="s">
        <v>253</v>
      </c>
      <c r="AW326" s="20" t="s">
        <v>113</v>
      </c>
      <c r="AX326" s="228">
        <v>1220115</v>
      </c>
      <c r="AY326" s="229">
        <v>0</v>
      </c>
      <c r="BA326" s="91"/>
      <c r="CK326" s="160"/>
      <c r="CL326" s="18"/>
      <c r="CM326" s="18"/>
      <c r="CN326" s="18"/>
      <c r="CO326" s="23"/>
      <c r="CP326" s="226"/>
      <c r="CQ326" s="169"/>
      <c r="CR326" s="170"/>
      <c r="CS326" s="23"/>
      <c r="CT326" s="169"/>
      <c r="DH326" s="232"/>
      <c r="DI326" s="234"/>
      <c r="DJ326" s="234"/>
      <c r="DK326" s="235"/>
      <c r="DL326" s="236"/>
      <c r="DM326" s="236"/>
      <c r="DN326" s="236"/>
      <c r="EF326" s="19"/>
      <c r="EG326" s="18"/>
      <c r="EH326" s="18"/>
      <c r="EI326" s="18"/>
      <c r="EX326" s="27"/>
      <c r="EY326" s="18"/>
      <c r="EZ326" s="20"/>
      <c r="FA326" s="18"/>
    </row>
    <row r="327" spans="46:157" x14ac:dyDescent="0.3">
      <c r="AT327" s="44" t="str">
        <f t="shared" si="119"/>
        <v>14_22B.L8.W</v>
      </c>
      <c r="AU327" s="18" t="s">
        <v>68</v>
      </c>
      <c r="AV327" s="18" t="s">
        <v>346</v>
      </c>
      <c r="AW327" s="20" t="s">
        <v>113</v>
      </c>
      <c r="AX327" s="228">
        <v>1220115</v>
      </c>
      <c r="AY327" s="229">
        <v>0</v>
      </c>
      <c r="BA327" s="91"/>
      <c r="CK327" s="160"/>
      <c r="CL327" s="18"/>
      <c r="CM327" s="18"/>
      <c r="CN327" s="18"/>
      <c r="CO327" s="23"/>
      <c r="CP327" s="226"/>
      <c r="CQ327" s="169"/>
      <c r="CR327" s="170"/>
      <c r="CS327" s="23"/>
      <c r="CT327" s="169"/>
      <c r="DH327" s="232"/>
      <c r="DI327" s="234"/>
      <c r="DJ327" s="234"/>
      <c r="DK327" s="235"/>
      <c r="DL327" s="236"/>
      <c r="DM327" s="236"/>
      <c r="DN327" s="236"/>
      <c r="EF327" s="19"/>
      <c r="EG327" s="18"/>
      <c r="EH327" s="18"/>
      <c r="EI327" s="18"/>
      <c r="EX327" s="27"/>
      <c r="EY327" s="18"/>
      <c r="EZ327" s="20"/>
      <c r="FA327" s="18"/>
    </row>
    <row r="328" spans="46:157" x14ac:dyDescent="0.3">
      <c r="AT328" s="44" t="str">
        <f t="shared" si="119"/>
        <v>14_24B.L8.W</v>
      </c>
      <c r="AU328" s="18" t="s">
        <v>68</v>
      </c>
      <c r="AV328" s="18" t="s">
        <v>428</v>
      </c>
      <c r="AW328" s="20" t="s">
        <v>113</v>
      </c>
      <c r="AX328" s="228">
        <v>1220115</v>
      </c>
      <c r="AY328" s="229">
        <v>0</v>
      </c>
      <c r="BA328" s="91"/>
      <c r="CK328" s="160"/>
      <c r="CL328" s="18"/>
      <c r="CM328" s="18"/>
      <c r="CN328" s="18"/>
      <c r="CO328" s="23"/>
      <c r="CP328" s="226"/>
      <c r="CQ328" s="169"/>
      <c r="CR328" s="170"/>
      <c r="CS328" s="23"/>
      <c r="CT328" s="169"/>
      <c r="DH328" s="232"/>
      <c r="DI328" s="234"/>
      <c r="DJ328" s="234"/>
      <c r="DK328" s="235"/>
      <c r="DL328" s="236"/>
      <c r="DM328" s="236"/>
      <c r="DN328" s="236"/>
      <c r="EF328" s="19"/>
      <c r="EG328" s="18"/>
      <c r="EH328" s="18"/>
      <c r="EI328" s="18"/>
      <c r="EX328" s="27"/>
      <c r="EY328" s="18"/>
      <c r="EZ328" s="20"/>
      <c r="FA328" s="18"/>
    </row>
    <row r="329" spans="46:157" x14ac:dyDescent="0.3">
      <c r="AT329" s="44" t="str">
        <f t="shared" si="119"/>
        <v>14_26B.L8.W</v>
      </c>
      <c r="AU329" s="18" t="s">
        <v>68</v>
      </c>
      <c r="AV329" s="18" t="s">
        <v>512</v>
      </c>
      <c r="AW329" s="20" t="s">
        <v>113</v>
      </c>
      <c r="AX329" s="228">
        <v>1220115</v>
      </c>
      <c r="AY329" s="229">
        <v>0</v>
      </c>
      <c r="BA329" s="91"/>
      <c r="CK329" s="160"/>
      <c r="CL329" s="18"/>
      <c r="CM329" s="18"/>
      <c r="CN329" s="18"/>
      <c r="CO329" s="23"/>
      <c r="CP329" s="226"/>
      <c r="CQ329" s="169"/>
      <c r="CR329" s="170"/>
      <c r="CS329" s="23"/>
      <c r="CT329" s="169"/>
      <c r="DH329" s="232"/>
      <c r="DI329" s="234"/>
      <c r="DJ329" s="234"/>
      <c r="DK329" s="235"/>
      <c r="DL329" s="236"/>
      <c r="DM329" s="236"/>
      <c r="DN329" s="236"/>
      <c r="EF329" s="19"/>
      <c r="EG329" s="18"/>
      <c r="EH329" s="18"/>
      <c r="EI329" s="18"/>
      <c r="EX329" s="27"/>
      <c r="EY329" s="18"/>
      <c r="EZ329" s="20"/>
      <c r="FA329" s="18"/>
    </row>
    <row r="330" spans="46:157" x14ac:dyDescent="0.3">
      <c r="AT330" s="44" t="str">
        <f t="shared" si="119"/>
        <v>15_16F.L8.W</v>
      </c>
      <c r="AU330" s="18" t="s">
        <v>68</v>
      </c>
      <c r="AV330" s="18" t="s">
        <v>698</v>
      </c>
      <c r="AW330" s="20" t="s">
        <v>113</v>
      </c>
      <c r="AX330" s="228">
        <v>1220115</v>
      </c>
      <c r="AY330" s="229">
        <v>0</v>
      </c>
      <c r="BA330" s="91"/>
      <c r="CK330" s="160"/>
      <c r="CL330" s="18"/>
      <c r="CM330" s="18"/>
      <c r="CN330" s="18"/>
      <c r="CO330" s="23"/>
      <c r="CP330" s="226"/>
      <c r="CQ330" s="169"/>
      <c r="CR330" s="170"/>
      <c r="CS330" s="23"/>
      <c r="CT330" s="169"/>
      <c r="DH330" s="232"/>
      <c r="DI330" s="234"/>
      <c r="DJ330" s="234"/>
      <c r="DK330" s="235"/>
      <c r="DL330" s="236"/>
      <c r="DM330" s="236"/>
      <c r="DN330" s="236"/>
      <c r="EF330" s="19"/>
      <c r="EG330" s="18"/>
      <c r="EH330" s="18"/>
      <c r="EI330" s="18"/>
      <c r="EX330" s="27"/>
      <c r="EY330" s="18"/>
      <c r="EZ330" s="20"/>
      <c r="FA330" s="18"/>
    </row>
    <row r="331" spans="46:157" x14ac:dyDescent="0.3">
      <c r="AT331" s="44" t="str">
        <f t="shared" si="119"/>
        <v>16_16F.L8.W</v>
      </c>
      <c r="AU331" s="18" t="s">
        <v>68</v>
      </c>
      <c r="AV331" s="18" t="s">
        <v>714</v>
      </c>
      <c r="AW331" s="20" t="s">
        <v>113</v>
      </c>
      <c r="AX331" s="228">
        <v>1220115</v>
      </c>
      <c r="AY331" s="229">
        <v>0</v>
      </c>
      <c r="BA331" s="91"/>
      <c r="CK331" s="160"/>
      <c r="CL331" s="18"/>
      <c r="CM331" s="18"/>
      <c r="CN331" s="18"/>
      <c r="CO331" s="23"/>
      <c r="CP331" s="226"/>
      <c r="CQ331" s="169"/>
      <c r="CR331" s="170"/>
      <c r="CS331" s="23"/>
      <c r="CT331" s="169"/>
      <c r="DH331" s="232"/>
      <c r="DI331" s="234"/>
      <c r="DJ331" s="234"/>
      <c r="DK331" s="235"/>
      <c r="DL331" s="236"/>
      <c r="DM331" s="236"/>
      <c r="DN331" s="236"/>
      <c r="EF331" s="19"/>
      <c r="EG331" s="18"/>
      <c r="EH331" s="18"/>
      <c r="EI331" s="18"/>
      <c r="EX331" s="27"/>
      <c r="EY331" s="18"/>
      <c r="EZ331" s="20"/>
      <c r="FA331" s="18"/>
    </row>
    <row r="332" spans="46:157" x14ac:dyDescent="0.3">
      <c r="AT332" s="44" t="str">
        <f t="shared" si="119"/>
        <v>16_16T.L8.W</v>
      </c>
      <c r="AU332" s="18" t="s">
        <v>68</v>
      </c>
      <c r="AV332" s="18" t="s">
        <v>985</v>
      </c>
      <c r="AW332" s="20" t="s">
        <v>113</v>
      </c>
      <c r="AX332" s="228">
        <v>1220115</v>
      </c>
      <c r="AY332" s="229">
        <v>0</v>
      </c>
      <c r="BA332" s="91"/>
      <c r="CK332" s="160"/>
      <c r="CL332" s="18"/>
      <c r="CM332" s="18"/>
      <c r="CN332" s="18"/>
      <c r="CO332" s="23"/>
      <c r="CP332" s="226"/>
      <c r="CQ332" s="169"/>
      <c r="CR332" s="170"/>
      <c r="CS332" s="23"/>
      <c r="CT332" s="169"/>
      <c r="DH332" s="232"/>
      <c r="DI332" s="234"/>
      <c r="DJ332" s="234"/>
      <c r="DK332" s="235"/>
      <c r="DL332" s="236"/>
      <c r="DM332" s="236"/>
      <c r="DN332" s="236"/>
      <c r="EF332" s="19"/>
      <c r="EG332" s="18"/>
      <c r="EH332" s="18"/>
      <c r="EI332" s="18"/>
      <c r="EX332" s="27"/>
      <c r="EY332" s="18"/>
      <c r="EZ332" s="20"/>
      <c r="FA332" s="18"/>
    </row>
    <row r="333" spans="46:157" x14ac:dyDescent="0.3">
      <c r="AT333" s="44" t="str">
        <f t="shared" si="119"/>
        <v>16_18B.L8.W</v>
      </c>
      <c r="AU333" s="18" t="s">
        <v>68</v>
      </c>
      <c r="AV333" s="18" t="s">
        <v>186</v>
      </c>
      <c r="AW333" s="20" t="s">
        <v>113</v>
      </c>
      <c r="AX333" s="228">
        <v>1220115</v>
      </c>
      <c r="AY333" s="229">
        <v>0</v>
      </c>
      <c r="BA333" s="91"/>
      <c r="CK333" s="160"/>
      <c r="CL333" s="18"/>
      <c r="CM333" s="18"/>
      <c r="CN333" s="18"/>
      <c r="CO333" s="23"/>
      <c r="CP333" s="226"/>
      <c r="CQ333" s="169"/>
      <c r="CR333" s="170"/>
      <c r="CS333" s="23"/>
      <c r="CT333" s="169"/>
      <c r="DH333" s="232"/>
      <c r="DI333" s="234"/>
      <c r="DJ333" s="234"/>
      <c r="DK333" s="235"/>
      <c r="DL333" s="236"/>
      <c r="DM333" s="236"/>
      <c r="DN333" s="236"/>
      <c r="EF333" s="19"/>
      <c r="EG333" s="18"/>
      <c r="EH333" s="18"/>
      <c r="EI333" s="18"/>
      <c r="EX333" s="27"/>
      <c r="EY333" s="18"/>
      <c r="EZ333" s="20"/>
      <c r="FA333" s="18"/>
    </row>
    <row r="334" spans="46:157" x14ac:dyDescent="0.3">
      <c r="AT334" s="44" t="str">
        <f t="shared" si="119"/>
        <v>16_18F.L8.W</v>
      </c>
      <c r="AU334" s="18" t="s">
        <v>68</v>
      </c>
      <c r="AV334" s="18" t="s">
        <v>726</v>
      </c>
      <c r="AW334" s="20" t="s">
        <v>113</v>
      </c>
      <c r="AX334" s="228">
        <v>1220115</v>
      </c>
      <c r="AY334" s="229">
        <v>0</v>
      </c>
      <c r="BA334" s="91"/>
      <c r="CK334" s="160"/>
      <c r="CL334" s="18"/>
      <c r="CM334" s="18"/>
      <c r="CN334" s="18"/>
      <c r="CO334" s="23"/>
      <c r="CP334" s="226"/>
      <c r="CQ334" s="169"/>
      <c r="CR334" s="170"/>
      <c r="CS334" s="23"/>
      <c r="CT334" s="169"/>
      <c r="DH334" s="232"/>
      <c r="DI334" s="234"/>
      <c r="DJ334" s="234"/>
      <c r="DK334" s="235"/>
      <c r="DL334" s="236"/>
      <c r="DM334" s="236"/>
      <c r="DN334" s="236"/>
      <c r="EF334" s="19"/>
      <c r="EG334" s="18"/>
      <c r="EH334" s="18"/>
      <c r="EI334" s="18"/>
      <c r="EX334" s="27"/>
      <c r="EY334" s="18"/>
      <c r="EZ334" s="20"/>
      <c r="FA334" s="18"/>
    </row>
    <row r="335" spans="46:157" x14ac:dyDescent="0.3">
      <c r="AT335" s="44" t="str">
        <f t="shared" si="119"/>
        <v>16_18T.L8.W</v>
      </c>
      <c r="AU335" s="18" t="s">
        <v>68</v>
      </c>
      <c r="AV335" s="18" t="s">
        <v>1174</v>
      </c>
      <c r="AW335" s="20" t="s">
        <v>113</v>
      </c>
      <c r="AX335" s="228">
        <v>1220115</v>
      </c>
      <c r="AY335" s="229">
        <v>0</v>
      </c>
      <c r="BA335" s="91"/>
      <c r="CK335" s="160"/>
      <c r="CL335" s="18"/>
      <c r="CM335" s="18"/>
      <c r="CN335" s="18"/>
      <c r="CO335" s="23"/>
      <c r="CP335" s="226"/>
      <c r="CQ335" s="169"/>
      <c r="CR335" s="170"/>
      <c r="CS335" s="23"/>
      <c r="CT335" s="169"/>
      <c r="DH335" s="232"/>
      <c r="DI335" s="234"/>
      <c r="DJ335" s="234"/>
      <c r="DK335" s="235"/>
      <c r="DL335" s="236"/>
      <c r="DM335" s="236"/>
      <c r="DN335" s="236"/>
      <c r="EF335" s="19"/>
      <c r="EG335" s="18"/>
      <c r="EH335" s="18"/>
      <c r="EI335" s="18"/>
      <c r="EX335" s="27"/>
      <c r="EY335" s="18"/>
      <c r="EZ335" s="20"/>
      <c r="FA335" s="18"/>
    </row>
    <row r="336" spans="46:157" x14ac:dyDescent="0.3">
      <c r="AT336" s="44" t="str">
        <f t="shared" si="119"/>
        <v>16_20B.L8.W</v>
      </c>
      <c r="AU336" s="18" t="s">
        <v>68</v>
      </c>
      <c r="AV336" s="18" t="s">
        <v>293</v>
      </c>
      <c r="AW336" s="20" t="s">
        <v>113</v>
      </c>
      <c r="AX336" s="228">
        <v>1220115</v>
      </c>
      <c r="AY336" s="229">
        <v>0</v>
      </c>
      <c r="BA336" s="91"/>
      <c r="CK336" s="160"/>
      <c r="CL336" s="18"/>
      <c r="CM336" s="18"/>
      <c r="CN336" s="18"/>
      <c r="CO336" s="23"/>
      <c r="CP336" s="226"/>
      <c r="CQ336" s="169"/>
      <c r="CR336" s="170"/>
      <c r="CS336" s="23"/>
      <c r="CT336" s="169"/>
      <c r="DH336" s="232"/>
      <c r="DI336" s="234"/>
      <c r="DJ336" s="234"/>
      <c r="DK336" s="235"/>
      <c r="DL336" s="236"/>
      <c r="DM336" s="236"/>
      <c r="DN336" s="236"/>
      <c r="EF336" s="19"/>
      <c r="EG336" s="18"/>
      <c r="EH336" s="18"/>
      <c r="EI336" s="18"/>
      <c r="EX336" s="27"/>
      <c r="EY336" s="18"/>
      <c r="EZ336" s="20"/>
      <c r="FA336" s="18"/>
    </row>
    <row r="337" spans="46:157" x14ac:dyDescent="0.3">
      <c r="AT337" s="44" t="str">
        <f t="shared" si="119"/>
        <v>16_22B.L8.W</v>
      </c>
      <c r="AU337" s="18" t="s">
        <v>68</v>
      </c>
      <c r="AV337" s="18" t="s">
        <v>365</v>
      </c>
      <c r="AW337" s="20" t="s">
        <v>113</v>
      </c>
      <c r="AX337" s="228">
        <v>1220115</v>
      </c>
      <c r="AY337" s="229">
        <v>0</v>
      </c>
      <c r="BA337" s="91"/>
      <c r="CK337" s="160"/>
      <c r="CL337" s="18"/>
      <c r="CM337" s="18"/>
      <c r="CN337" s="18"/>
      <c r="CO337" s="23"/>
      <c r="CP337" s="226"/>
      <c r="CQ337" s="169"/>
      <c r="CR337" s="170"/>
      <c r="CS337" s="23"/>
      <c r="CT337" s="169"/>
      <c r="DH337" s="232"/>
      <c r="DI337" s="234"/>
      <c r="DJ337" s="234"/>
      <c r="DK337" s="235"/>
      <c r="DL337" s="236"/>
      <c r="DM337" s="236"/>
      <c r="DN337" s="236"/>
      <c r="EF337" s="19"/>
      <c r="EG337" s="18"/>
      <c r="EH337" s="18"/>
      <c r="EI337" s="18"/>
      <c r="EX337" s="27"/>
      <c r="EY337" s="18"/>
      <c r="EZ337" s="20"/>
      <c r="FA337" s="18"/>
    </row>
    <row r="338" spans="46:157" x14ac:dyDescent="0.3">
      <c r="AT338" s="44" t="str">
        <f t="shared" si="119"/>
        <v>16_24B.L8.W</v>
      </c>
      <c r="AU338" s="18" t="s">
        <v>68</v>
      </c>
      <c r="AV338" s="18" t="s">
        <v>444</v>
      </c>
      <c r="AW338" s="20" t="s">
        <v>113</v>
      </c>
      <c r="AX338" s="228">
        <v>1220115</v>
      </c>
      <c r="AY338" s="229">
        <v>0</v>
      </c>
      <c r="BA338" s="91"/>
      <c r="CK338" s="160"/>
      <c r="CL338" s="18"/>
      <c r="CM338" s="18"/>
      <c r="CN338" s="18"/>
      <c r="CO338" s="23"/>
      <c r="CP338" s="226"/>
      <c r="CQ338" s="169"/>
      <c r="CR338" s="170"/>
      <c r="CS338" s="23"/>
      <c r="CT338" s="169"/>
      <c r="DH338" s="232"/>
      <c r="DI338" s="234"/>
      <c r="DJ338" s="234"/>
      <c r="DK338" s="235"/>
      <c r="DL338" s="236"/>
      <c r="DM338" s="236"/>
      <c r="DN338" s="236"/>
      <c r="EF338" s="19"/>
      <c r="EG338" s="18"/>
      <c r="EH338" s="18"/>
      <c r="EI338" s="18"/>
      <c r="EX338" s="27"/>
      <c r="EY338" s="18"/>
      <c r="EZ338" s="20"/>
      <c r="FA338" s="18"/>
    </row>
    <row r="339" spans="46:157" x14ac:dyDescent="0.3">
      <c r="AT339" s="44" t="str">
        <f t="shared" ref="AT339:AT402" si="120">CONCATENATE(AV339,".",AU339,".",AW339)</f>
        <v>16_26B.L8.W</v>
      </c>
      <c r="AU339" s="18" t="s">
        <v>68</v>
      </c>
      <c r="AV339" s="18" t="s">
        <v>532</v>
      </c>
      <c r="AW339" s="20" t="s">
        <v>113</v>
      </c>
      <c r="AX339" s="228">
        <v>1220115</v>
      </c>
      <c r="AY339" s="229">
        <v>0</v>
      </c>
      <c r="BA339" s="91"/>
      <c r="CK339" s="160"/>
      <c r="CL339" s="18"/>
      <c r="CM339" s="18"/>
      <c r="CN339" s="18"/>
      <c r="CO339" s="23"/>
      <c r="CP339" s="226"/>
      <c r="CQ339" s="169"/>
      <c r="CR339" s="170"/>
      <c r="CS339" s="23"/>
      <c r="CT339" s="169"/>
      <c r="DH339" s="232"/>
      <c r="DI339" s="234"/>
      <c r="DJ339" s="234"/>
      <c r="DK339" s="235"/>
      <c r="DL339" s="236"/>
      <c r="DM339" s="236"/>
      <c r="DN339" s="236"/>
      <c r="EF339" s="19"/>
      <c r="EG339" s="18"/>
      <c r="EH339" s="18"/>
      <c r="EI339" s="19"/>
      <c r="EX339" s="27"/>
      <c r="EY339" s="18"/>
      <c r="EZ339" s="20"/>
      <c r="FA339" s="18"/>
    </row>
    <row r="340" spans="46:157" x14ac:dyDescent="0.3">
      <c r="AT340" s="44" t="str">
        <f t="shared" si="120"/>
        <v>18_20B.L8.W</v>
      </c>
      <c r="AU340" s="18" t="s">
        <v>68</v>
      </c>
      <c r="AV340" s="18" t="s">
        <v>312</v>
      </c>
      <c r="AW340" s="20" t="s">
        <v>113</v>
      </c>
      <c r="AX340" s="228">
        <v>1220115</v>
      </c>
      <c r="AY340" s="229">
        <v>0</v>
      </c>
      <c r="BA340" s="91"/>
      <c r="CK340" s="160"/>
      <c r="CL340" s="18"/>
      <c r="CM340" s="18"/>
      <c r="CN340" s="18"/>
      <c r="CO340" s="23"/>
      <c r="CP340" s="226"/>
      <c r="CQ340" s="169"/>
      <c r="CR340" s="170"/>
      <c r="CS340" s="23"/>
      <c r="CT340" s="169"/>
      <c r="DH340" s="232"/>
      <c r="DI340" s="234"/>
      <c r="DJ340" s="234"/>
      <c r="DK340" s="235"/>
      <c r="DL340" s="236"/>
      <c r="DM340" s="236"/>
      <c r="DN340" s="236"/>
      <c r="EF340" s="19"/>
      <c r="EG340" s="18"/>
      <c r="EH340" s="18"/>
      <c r="EI340" s="18"/>
      <c r="EX340" s="27"/>
      <c r="EY340" s="18"/>
      <c r="EZ340" s="20"/>
      <c r="FA340" s="18"/>
    </row>
    <row r="341" spans="46:157" x14ac:dyDescent="0.3">
      <c r="AT341" s="44" t="str">
        <f t="shared" si="120"/>
        <v>18_22B.L8.W</v>
      </c>
      <c r="AU341" s="18" t="s">
        <v>68</v>
      </c>
      <c r="AV341" s="18" t="s">
        <v>382</v>
      </c>
      <c r="AW341" s="20" t="s">
        <v>113</v>
      </c>
      <c r="AX341" s="228">
        <v>1220115</v>
      </c>
      <c r="AY341" s="229">
        <v>0</v>
      </c>
      <c r="BA341" s="91"/>
      <c r="CK341" s="160"/>
      <c r="CL341" s="18"/>
      <c r="CM341" s="18"/>
      <c r="CN341" s="18"/>
      <c r="CO341" s="23"/>
      <c r="CP341" s="226"/>
      <c r="CQ341" s="169"/>
      <c r="CR341" s="170"/>
      <c r="CS341" s="23"/>
      <c r="CT341" s="169"/>
      <c r="DH341" s="232"/>
      <c r="DI341" s="234"/>
      <c r="DJ341" s="234"/>
      <c r="DK341" s="235"/>
      <c r="DL341" s="236"/>
      <c r="DM341" s="236"/>
      <c r="DN341" s="236"/>
      <c r="EF341" s="19"/>
      <c r="EG341" s="18"/>
      <c r="EH341" s="18"/>
      <c r="EI341" s="18"/>
      <c r="EX341" s="27"/>
      <c r="EY341" s="18"/>
      <c r="EZ341" s="20"/>
      <c r="FA341" s="18"/>
    </row>
    <row r="342" spans="46:157" x14ac:dyDescent="0.3">
      <c r="AT342" s="44" t="str">
        <f t="shared" si="120"/>
        <v>18_24B.L8.W</v>
      </c>
      <c r="AU342" s="18" t="s">
        <v>68</v>
      </c>
      <c r="AV342" s="18" t="s">
        <v>461</v>
      </c>
      <c r="AW342" s="20" t="s">
        <v>113</v>
      </c>
      <c r="AX342" s="228">
        <v>1220115</v>
      </c>
      <c r="AY342" s="229">
        <v>0</v>
      </c>
      <c r="BA342" s="91"/>
      <c r="CK342" s="160"/>
      <c r="CL342" s="18"/>
      <c r="CM342" s="18"/>
      <c r="CN342" s="18"/>
      <c r="CO342" s="23"/>
      <c r="CP342" s="226"/>
      <c r="CQ342" s="169"/>
      <c r="CR342" s="170"/>
      <c r="CS342" s="23"/>
      <c r="CT342" s="169"/>
      <c r="DH342" s="232"/>
      <c r="DI342" s="234"/>
      <c r="DJ342" s="234"/>
      <c r="DK342" s="235"/>
      <c r="DL342" s="236"/>
      <c r="DM342" s="236"/>
      <c r="DN342" s="236"/>
      <c r="EF342" s="19"/>
      <c r="EG342" s="18"/>
      <c r="EH342" s="18"/>
      <c r="EI342" s="18"/>
      <c r="EX342" s="27"/>
      <c r="EY342" s="18"/>
      <c r="EZ342" s="20"/>
      <c r="FA342" s="18"/>
    </row>
    <row r="343" spans="46:157" x14ac:dyDescent="0.3">
      <c r="AT343" s="44" t="str">
        <f t="shared" si="120"/>
        <v>20_22B.L8.W</v>
      </c>
      <c r="AU343" s="18" t="s">
        <v>68</v>
      </c>
      <c r="AV343" s="18" t="s">
        <v>400</v>
      </c>
      <c r="AW343" s="20" t="s">
        <v>113</v>
      </c>
      <c r="AX343" s="228">
        <v>1220115</v>
      </c>
      <c r="AY343" s="229">
        <v>0</v>
      </c>
      <c r="BA343" s="91"/>
      <c r="CK343" s="160"/>
      <c r="CL343" s="18"/>
      <c r="CM343" s="18"/>
      <c r="CN343" s="18"/>
      <c r="CO343" s="23"/>
      <c r="CP343" s="226"/>
      <c r="CQ343" s="169"/>
      <c r="CR343" s="170"/>
      <c r="CS343" s="23"/>
      <c r="CT343" s="169"/>
      <c r="DH343" s="232"/>
      <c r="DI343" s="234"/>
      <c r="DJ343" s="234"/>
      <c r="DK343" s="235"/>
      <c r="DL343" s="236"/>
      <c r="DM343" s="236"/>
      <c r="DN343" s="236"/>
      <c r="EF343" s="19"/>
      <c r="EG343" s="18"/>
      <c r="EH343" s="18"/>
      <c r="EI343" s="18"/>
      <c r="EX343" s="27"/>
      <c r="EY343" s="18"/>
      <c r="EZ343" s="20"/>
      <c r="FA343" s="18"/>
    </row>
    <row r="344" spans="46:157" x14ac:dyDescent="0.3">
      <c r="AT344" s="44" t="str">
        <f t="shared" si="120"/>
        <v>20_24B.L8.W</v>
      </c>
      <c r="AU344" s="18" t="s">
        <v>68</v>
      </c>
      <c r="AV344" s="18" t="s">
        <v>479</v>
      </c>
      <c r="AW344" s="20" t="s">
        <v>113</v>
      </c>
      <c r="AX344" s="228">
        <v>1220115</v>
      </c>
      <c r="AY344" s="229">
        <v>0</v>
      </c>
      <c r="BA344" s="91"/>
      <c r="CK344" s="160"/>
      <c r="CL344" s="18"/>
      <c r="CM344" s="18"/>
      <c r="CN344" s="18"/>
      <c r="CO344" s="23"/>
      <c r="CP344" s="226"/>
      <c r="CQ344" s="169"/>
      <c r="CR344" s="170"/>
      <c r="CS344" s="23"/>
      <c r="CT344" s="169"/>
      <c r="DH344" s="232"/>
      <c r="DI344" s="234"/>
      <c r="DJ344" s="234"/>
      <c r="DK344" s="235"/>
      <c r="DL344" s="236"/>
      <c r="DM344" s="236"/>
      <c r="DN344" s="236"/>
      <c r="EF344" s="19"/>
      <c r="EG344" s="18"/>
      <c r="EH344" s="18"/>
      <c r="EI344" s="19"/>
      <c r="EX344" s="27"/>
      <c r="EY344" s="18"/>
      <c r="EZ344" s="20"/>
      <c r="FA344" s="18"/>
    </row>
    <row r="345" spans="46:157" x14ac:dyDescent="0.3">
      <c r="AT345" s="44" t="str">
        <f t="shared" si="120"/>
        <v>3H_13S.L8.W</v>
      </c>
      <c r="AU345" s="18" t="s">
        <v>68</v>
      </c>
      <c r="AV345" s="18" t="s">
        <v>1001</v>
      </c>
      <c r="AW345" s="20" t="s">
        <v>113</v>
      </c>
      <c r="AX345" s="228">
        <v>1220115</v>
      </c>
      <c r="AY345" s="229">
        <v>0</v>
      </c>
      <c r="BA345" s="91"/>
      <c r="CK345" s="160"/>
      <c r="CL345" s="18"/>
      <c r="CM345" s="18"/>
      <c r="CN345" s="18"/>
      <c r="CO345" s="23"/>
      <c r="CP345" s="226"/>
      <c r="CQ345" s="169"/>
      <c r="CR345" s="170"/>
      <c r="CS345" s="23"/>
      <c r="CT345" s="169"/>
      <c r="DH345" s="232"/>
      <c r="DI345" s="234"/>
      <c r="DJ345" s="234"/>
      <c r="DK345" s="235"/>
      <c r="DL345" s="236"/>
      <c r="DM345" s="236"/>
      <c r="DN345" s="236"/>
      <c r="EF345" s="19"/>
      <c r="EG345" s="18"/>
      <c r="EH345" s="18"/>
      <c r="EI345" s="18"/>
      <c r="EX345" s="27"/>
      <c r="EY345" s="18"/>
      <c r="EZ345" s="20"/>
      <c r="FA345" s="18"/>
    </row>
    <row r="346" spans="46:157" x14ac:dyDescent="0.3">
      <c r="AT346" s="44" t="str">
        <f t="shared" si="120"/>
        <v>4_14S.L8.W</v>
      </c>
      <c r="AU346" s="18" t="s">
        <v>68</v>
      </c>
      <c r="AV346" s="18" t="s">
        <v>1017</v>
      </c>
      <c r="AW346" s="20" t="s">
        <v>113</v>
      </c>
      <c r="AX346" s="228">
        <v>1220115</v>
      </c>
      <c r="AY346" s="229">
        <v>0</v>
      </c>
      <c r="BA346" s="91"/>
      <c r="CK346" s="160"/>
      <c r="CL346" s="18"/>
      <c r="CM346" s="18"/>
      <c r="CN346" s="18"/>
      <c r="CO346" s="23"/>
      <c r="CP346" s="226"/>
      <c r="CQ346" s="169"/>
      <c r="CR346" s="170"/>
      <c r="CS346" s="23"/>
      <c r="CT346" s="169"/>
      <c r="DH346" s="232"/>
      <c r="DI346" s="234"/>
      <c r="DJ346" s="234"/>
      <c r="DK346" s="235"/>
      <c r="DL346" s="236"/>
      <c r="DM346" s="236"/>
      <c r="DN346" s="236"/>
      <c r="EF346" s="19"/>
      <c r="EG346" s="18"/>
      <c r="EH346" s="18"/>
      <c r="EI346" s="18"/>
      <c r="EX346" s="27"/>
      <c r="EY346" s="18"/>
      <c r="EZ346" s="20"/>
      <c r="FA346" s="18"/>
    </row>
    <row r="347" spans="46:157" x14ac:dyDescent="0.3">
      <c r="AT347" s="44" t="str">
        <f t="shared" si="120"/>
        <v>4_14x8S.L8.W</v>
      </c>
      <c r="AU347" s="18" t="s">
        <v>68</v>
      </c>
      <c r="AV347" s="18" t="s">
        <v>1049</v>
      </c>
      <c r="AW347" s="20" t="s">
        <v>113</v>
      </c>
      <c r="AX347" s="228">
        <v>1220115</v>
      </c>
      <c r="AY347" s="229">
        <v>0</v>
      </c>
      <c r="BA347" s="91"/>
      <c r="CK347" s="160"/>
      <c r="CL347" s="18"/>
      <c r="CM347" s="18"/>
      <c r="CN347" s="18"/>
      <c r="CO347" s="23"/>
      <c r="CP347" s="226"/>
      <c r="CQ347" s="169"/>
      <c r="CR347" s="170"/>
      <c r="CS347" s="23"/>
      <c r="CT347" s="169"/>
      <c r="DH347" s="232"/>
      <c r="DI347" s="234"/>
      <c r="DJ347" s="234"/>
      <c r="DK347" s="235"/>
      <c r="DL347" s="236"/>
      <c r="DM347" s="236"/>
      <c r="DN347" s="236"/>
      <c r="EF347" s="19"/>
      <c r="EG347" s="18"/>
      <c r="EH347" s="18"/>
      <c r="EI347" s="18"/>
      <c r="EX347" s="27"/>
      <c r="EY347" s="18"/>
      <c r="EZ347" s="20"/>
      <c r="FA347" s="18"/>
    </row>
    <row r="348" spans="46:157" x14ac:dyDescent="0.3">
      <c r="AT348" s="44" t="str">
        <f t="shared" si="120"/>
        <v>5_14S.L8.W</v>
      </c>
      <c r="AU348" s="18" t="s">
        <v>68</v>
      </c>
      <c r="AV348" s="18" t="s">
        <v>1026</v>
      </c>
      <c r="AW348" s="20" t="s">
        <v>113</v>
      </c>
      <c r="AX348" s="228">
        <v>1220115</v>
      </c>
      <c r="AY348" s="229">
        <v>0</v>
      </c>
      <c r="BA348" s="91"/>
      <c r="CK348" s="160"/>
      <c r="CL348" s="18"/>
      <c r="CM348" s="18"/>
      <c r="CN348" s="18"/>
      <c r="CO348" s="23"/>
      <c r="CP348" s="226"/>
      <c r="CQ348" s="169"/>
      <c r="CR348" s="170"/>
      <c r="CS348" s="23"/>
      <c r="CT348" s="169"/>
      <c r="DH348" s="232"/>
      <c r="DI348" s="234"/>
      <c r="DJ348" s="234"/>
      <c r="DK348" s="235"/>
      <c r="DL348" s="236"/>
      <c r="DM348" s="236"/>
      <c r="DN348" s="236"/>
      <c r="EF348" s="19"/>
      <c r="EG348" s="18"/>
      <c r="EH348" s="18"/>
      <c r="EI348" s="18"/>
      <c r="EX348" s="27"/>
      <c r="EY348" s="18"/>
      <c r="EZ348" s="20"/>
      <c r="FA348" s="18"/>
    </row>
    <row r="349" spans="46:157" x14ac:dyDescent="0.3">
      <c r="AT349" s="44" t="str">
        <f t="shared" si="120"/>
        <v>5_14x8S.L8.W</v>
      </c>
      <c r="AU349" s="18" t="s">
        <v>68</v>
      </c>
      <c r="AV349" s="18" t="s">
        <v>1059</v>
      </c>
      <c r="AW349" s="20" t="s">
        <v>113</v>
      </c>
      <c r="AX349" s="228">
        <v>1220115</v>
      </c>
      <c r="AY349" s="229">
        <v>0</v>
      </c>
      <c r="BA349" s="91"/>
      <c r="CK349" s="160"/>
      <c r="CL349" s="18"/>
      <c r="CM349" s="18"/>
      <c r="CN349" s="18"/>
      <c r="CO349" s="23"/>
      <c r="CP349" s="226"/>
      <c r="CQ349" s="169"/>
      <c r="CR349" s="170"/>
      <c r="CS349" s="23"/>
      <c r="CT349" s="169"/>
      <c r="DH349" s="232"/>
      <c r="DI349" s="234"/>
      <c r="DJ349" s="234"/>
      <c r="DK349" s="235"/>
      <c r="DL349" s="236"/>
      <c r="DM349" s="236"/>
      <c r="DN349" s="236"/>
      <c r="EF349" s="19"/>
      <c r="EG349" s="18"/>
      <c r="EH349" s="18"/>
      <c r="EI349" s="18"/>
    </row>
    <row r="350" spans="46:157" x14ac:dyDescent="0.3">
      <c r="AT350" s="44" t="str">
        <f t="shared" si="120"/>
        <v>5H_14x8S.L8.W</v>
      </c>
      <c r="AU350" s="18" t="s">
        <v>68</v>
      </c>
      <c r="AV350" s="18" t="s">
        <v>1067</v>
      </c>
      <c r="AW350" s="20" t="s">
        <v>113</v>
      </c>
      <c r="AX350" s="228">
        <v>1220115</v>
      </c>
      <c r="AY350" s="229">
        <v>0</v>
      </c>
      <c r="BA350" s="91"/>
      <c r="CK350" s="160"/>
      <c r="CL350" s="18"/>
      <c r="CM350" s="18"/>
      <c r="CN350" s="18"/>
      <c r="CO350" s="23"/>
      <c r="CP350" s="226"/>
      <c r="CQ350" s="169"/>
      <c r="CR350" s="170"/>
      <c r="CS350" s="23"/>
      <c r="CT350" s="169"/>
      <c r="DH350" s="232"/>
      <c r="DI350" s="234"/>
      <c r="DJ350" s="234"/>
      <c r="DK350" s="235"/>
      <c r="DL350" s="236"/>
      <c r="DM350" s="236"/>
      <c r="DN350" s="236"/>
      <c r="EF350" s="19"/>
      <c r="EG350" s="18"/>
      <c r="EH350" s="18"/>
      <c r="EI350" s="18"/>
    </row>
    <row r="351" spans="46:157" x14ac:dyDescent="0.3">
      <c r="AT351" s="44" t="str">
        <f t="shared" si="120"/>
        <v>6_12S.L8.W</v>
      </c>
      <c r="AU351" s="18" t="s">
        <v>68</v>
      </c>
      <c r="AV351" s="18" t="s">
        <v>995</v>
      </c>
      <c r="AW351" s="20" t="s">
        <v>113</v>
      </c>
      <c r="AX351" s="228">
        <v>1220115</v>
      </c>
      <c r="AY351" s="229">
        <v>0</v>
      </c>
      <c r="BA351" s="91"/>
      <c r="CK351" s="160"/>
      <c r="CL351" s="18"/>
      <c r="CM351" s="18"/>
      <c r="CN351" s="18"/>
      <c r="CO351" s="23"/>
      <c r="CP351" s="226"/>
      <c r="CQ351" s="169"/>
      <c r="CR351" s="170"/>
      <c r="CS351" s="23"/>
      <c r="CT351" s="169"/>
      <c r="DH351" s="232"/>
      <c r="DI351" s="234"/>
      <c r="DJ351" s="234"/>
      <c r="DK351" s="235"/>
      <c r="DL351" s="236"/>
      <c r="DM351" s="236"/>
      <c r="DN351" s="236"/>
      <c r="EF351" s="19"/>
      <c r="EG351" s="18"/>
      <c r="EH351" s="18"/>
      <c r="EI351" s="18"/>
    </row>
    <row r="352" spans="46:157" x14ac:dyDescent="0.3">
      <c r="AT352" s="44" t="str">
        <f t="shared" si="120"/>
        <v>6_13S.L8.W</v>
      </c>
      <c r="AU352" s="18" t="s">
        <v>68</v>
      </c>
      <c r="AV352" s="18" t="s">
        <v>1012</v>
      </c>
      <c r="AW352" s="20" t="s">
        <v>113</v>
      </c>
      <c r="AX352" s="228">
        <v>1220115</v>
      </c>
      <c r="AY352" s="229">
        <v>0</v>
      </c>
      <c r="BA352" s="91"/>
      <c r="CK352" s="160"/>
      <c r="CL352" s="18"/>
      <c r="CM352" s="18"/>
      <c r="CN352" s="18"/>
      <c r="CO352" s="23"/>
      <c r="CP352" s="226"/>
      <c r="CQ352" s="169"/>
      <c r="CR352" s="170"/>
      <c r="CS352" s="23"/>
      <c r="CT352" s="169"/>
      <c r="DH352" s="232"/>
      <c r="DI352" s="234"/>
      <c r="DJ352" s="234"/>
      <c r="DK352" s="235"/>
      <c r="DL352" s="236"/>
      <c r="DM352" s="236"/>
      <c r="DN352" s="236"/>
      <c r="EF352" s="19"/>
      <c r="EG352" s="18"/>
      <c r="EH352" s="18"/>
      <c r="EI352" s="20"/>
    </row>
    <row r="353" spans="46:157" x14ac:dyDescent="0.3">
      <c r="AT353" s="44" t="str">
        <f t="shared" si="120"/>
        <v>6_6T.L8.W</v>
      </c>
      <c r="AU353" s="18" t="s">
        <v>68</v>
      </c>
      <c r="AV353" s="18" t="s">
        <v>1184</v>
      </c>
      <c r="AW353" s="20" t="s">
        <v>113</v>
      </c>
      <c r="AX353" s="228">
        <v>1220115</v>
      </c>
      <c r="AY353" s="229">
        <v>0</v>
      </c>
      <c r="BA353" s="91"/>
      <c r="CK353" s="160"/>
      <c r="CL353" s="18"/>
      <c r="CM353" s="18"/>
      <c r="CN353" s="18"/>
      <c r="CO353" s="23"/>
      <c r="CP353" s="226"/>
      <c r="CQ353" s="169"/>
      <c r="CR353" s="170"/>
      <c r="CS353" s="23"/>
      <c r="CT353" s="169"/>
      <c r="DH353" s="232"/>
      <c r="DI353" s="234"/>
      <c r="DJ353" s="234"/>
      <c r="DK353" s="235"/>
      <c r="DL353" s="236"/>
      <c r="DM353" s="236"/>
      <c r="DN353" s="236"/>
      <c r="EF353" s="19"/>
      <c r="EG353" s="18"/>
      <c r="EH353" s="18"/>
      <c r="EI353" s="18"/>
    </row>
    <row r="354" spans="46:157" x14ac:dyDescent="0.3">
      <c r="AT354" s="44" t="str">
        <f t="shared" si="120"/>
        <v>6_8T.L8.W</v>
      </c>
      <c r="AU354" s="18" t="s">
        <v>68</v>
      </c>
      <c r="AV354" s="18" t="s">
        <v>1185</v>
      </c>
      <c r="AW354" s="20" t="s">
        <v>113</v>
      </c>
      <c r="AX354" s="228">
        <v>1220115</v>
      </c>
      <c r="AY354" s="229">
        <v>0</v>
      </c>
      <c r="BA354" s="91"/>
      <c r="CK354" s="160"/>
      <c r="CL354" s="18"/>
      <c r="CM354" s="18"/>
      <c r="CN354" s="18"/>
      <c r="CO354" s="23"/>
      <c r="CP354" s="226"/>
      <c r="CQ354" s="169"/>
      <c r="CR354" s="170"/>
      <c r="CS354" s="23"/>
      <c r="CT354" s="169"/>
      <c r="DH354" s="232"/>
      <c r="DI354" s="234"/>
      <c r="DJ354" s="234"/>
      <c r="DK354" s="235"/>
      <c r="DL354" s="236"/>
      <c r="DM354" s="236"/>
      <c r="DN354" s="236"/>
      <c r="EF354" s="19"/>
      <c r="EG354" s="18"/>
      <c r="EH354" s="18"/>
      <c r="EI354" s="18"/>
    </row>
    <row r="355" spans="46:157" x14ac:dyDescent="0.3">
      <c r="AT355" s="44" t="str">
        <f t="shared" si="120"/>
        <v>6H_14S.L8.W</v>
      </c>
      <c r="AU355" s="18" t="s">
        <v>68</v>
      </c>
      <c r="AV355" s="18" t="s">
        <v>1039</v>
      </c>
      <c r="AW355" s="20" t="s">
        <v>113</v>
      </c>
      <c r="AX355" s="228">
        <v>1220115</v>
      </c>
      <c r="AY355" s="229">
        <v>0</v>
      </c>
      <c r="BA355" s="91"/>
      <c r="CK355" s="160"/>
      <c r="CL355" s="18"/>
      <c r="CM355" s="18"/>
      <c r="CN355" s="18"/>
      <c r="CO355" s="23"/>
      <c r="CP355" s="226"/>
      <c r="CQ355" s="169"/>
      <c r="CR355" s="170"/>
      <c r="CS355" s="23"/>
      <c r="CT355" s="169"/>
      <c r="DH355" s="232"/>
      <c r="DI355" s="234"/>
      <c r="DJ355" s="234"/>
      <c r="DK355" s="235"/>
      <c r="DL355" s="236"/>
      <c r="DM355" s="236"/>
      <c r="DN355" s="236"/>
      <c r="EF355" s="19"/>
      <c r="EG355" s="18"/>
      <c r="EH355" s="18"/>
      <c r="EI355" s="20"/>
    </row>
    <row r="356" spans="46:157" x14ac:dyDescent="0.3">
      <c r="AT356" s="44" t="str">
        <f t="shared" si="120"/>
        <v>6H_14x8S.L8.W</v>
      </c>
      <c r="AU356" s="18" t="s">
        <v>68</v>
      </c>
      <c r="AV356" s="18" t="s">
        <v>1075</v>
      </c>
      <c r="AW356" s="20" t="s">
        <v>113</v>
      </c>
      <c r="AX356" s="228">
        <v>1220115</v>
      </c>
      <c r="AY356" s="229">
        <v>0</v>
      </c>
      <c r="BA356" s="91"/>
      <c r="CK356" s="160"/>
      <c r="CL356" s="18"/>
      <c r="CM356" s="18"/>
      <c r="CN356" s="18"/>
      <c r="CO356" s="23"/>
      <c r="CP356" s="226"/>
      <c r="CQ356" s="169"/>
      <c r="CR356" s="170"/>
      <c r="CS356" s="23"/>
      <c r="CT356" s="169"/>
      <c r="DH356" s="232"/>
      <c r="DI356" s="234"/>
      <c r="DJ356" s="234"/>
      <c r="DK356" s="235"/>
      <c r="DL356" s="236"/>
      <c r="DM356" s="236"/>
      <c r="DN356" s="236"/>
      <c r="EF356" s="19"/>
      <c r="EG356" s="18"/>
      <c r="EH356" s="18"/>
      <c r="EI356" s="18"/>
    </row>
    <row r="357" spans="46:157" x14ac:dyDescent="0.3">
      <c r="AT357" s="44" t="str">
        <f t="shared" si="120"/>
        <v>7_10T.L8.W</v>
      </c>
      <c r="AU357" s="18" t="s">
        <v>68</v>
      </c>
      <c r="AV357" s="18" t="s">
        <v>763</v>
      </c>
      <c r="AW357" s="20" t="s">
        <v>113</v>
      </c>
      <c r="AX357" s="228">
        <v>1220115</v>
      </c>
      <c r="AY357" s="229">
        <v>0</v>
      </c>
      <c r="BA357" s="91"/>
      <c r="CK357" s="160"/>
      <c r="CL357" s="18"/>
      <c r="CM357" s="18"/>
      <c r="CN357" s="18"/>
      <c r="CO357" s="23"/>
      <c r="CP357" s="226"/>
      <c r="CQ357" s="169"/>
      <c r="CR357" s="170"/>
      <c r="CS357" s="23"/>
      <c r="CT357" s="169"/>
      <c r="DH357" s="232"/>
      <c r="DI357" s="234"/>
      <c r="DJ357" s="234"/>
      <c r="DK357" s="235"/>
      <c r="DL357" s="236"/>
      <c r="DM357" s="236"/>
      <c r="DN357" s="236"/>
      <c r="EF357" s="21"/>
      <c r="EG357" s="18"/>
      <c r="EH357" s="18"/>
      <c r="EI357" s="18"/>
    </row>
    <row r="358" spans="46:157" x14ac:dyDescent="0.3">
      <c r="AT358" s="44" t="str">
        <f t="shared" si="120"/>
        <v>7_6T.L8.W</v>
      </c>
      <c r="AU358" s="18" t="s">
        <v>68</v>
      </c>
      <c r="AV358" s="20" t="s">
        <v>736</v>
      </c>
      <c r="AW358" s="20" t="s">
        <v>113</v>
      </c>
      <c r="AX358" s="228">
        <v>1220115</v>
      </c>
      <c r="AY358" s="229">
        <v>0</v>
      </c>
      <c r="BA358" s="91"/>
      <c r="CK358" s="160"/>
      <c r="CL358" s="18"/>
      <c r="CM358" s="18"/>
      <c r="CN358" s="18"/>
      <c r="CO358" s="23"/>
      <c r="CP358" s="226"/>
      <c r="CQ358" s="169"/>
      <c r="CR358" s="170"/>
      <c r="CS358" s="23"/>
      <c r="CT358" s="169"/>
      <c r="DH358" s="232"/>
      <c r="DI358" s="234"/>
      <c r="DJ358" s="234"/>
      <c r="DK358" s="235"/>
      <c r="DL358" s="236"/>
      <c r="DM358" s="236"/>
      <c r="DN358" s="236"/>
      <c r="EF358" s="19"/>
      <c r="EG358" s="18"/>
      <c r="EH358" s="18"/>
      <c r="EI358" s="18"/>
    </row>
    <row r="359" spans="46:157" x14ac:dyDescent="0.3">
      <c r="AT359" s="44" t="str">
        <f t="shared" si="120"/>
        <v>7_8T.L8.W</v>
      </c>
      <c r="AU359" s="18" t="s">
        <v>68</v>
      </c>
      <c r="AV359" s="18" t="s">
        <v>748</v>
      </c>
      <c r="AW359" s="20" t="s">
        <v>113</v>
      </c>
      <c r="AX359" s="228">
        <v>1220115</v>
      </c>
      <c r="AY359" s="229">
        <v>0</v>
      </c>
      <c r="BA359" s="91"/>
      <c r="CK359" s="160"/>
      <c r="CL359" s="18"/>
      <c r="CM359" s="18"/>
      <c r="CN359" s="18"/>
      <c r="CO359" s="23"/>
      <c r="CP359" s="226"/>
      <c r="CQ359" s="169"/>
      <c r="CR359" s="170"/>
      <c r="CS359" s="23"/>
      <c r="CT359" s="169"/>
      <c r="DH359" s="232"/>
      <c r="DI359" s="234"/>
      <c r="DJ359" s="234"/>
      <c r="DK359" s="235"/>
      <c r="DL359" s="236"/>
      <c r="DM359" s="236"/>
      <c r="DN359" s="236"/>
      <c r="EF359" s="19"/>
      <c r="EG359" s="18"/>
      <c r="EH359" s="18"/>
      <c r="EI359" s="20"/>
      <c r="EY359" s="11"/>
      <c r="EZ359" s="11"/>
    </row>
    <row r="360" spans="46:157" x14ac:dyDescent="0.3">
      <c r="AT360" s="44" t="str">
        <f t="shared" si="120"/>
        <v>7H_10T.L8.W</v>
      </c>
      <c r="AU360" s="18" t="s">
        <v>68</v>
      </c>
      <c r="AV360" s="18" t="s">
        <v>769</v>
      </c>
      <c r="AW360" s="20" t="s">
        <v>113</v>
      </c>
      <c r="AX360" s="228">
        <v>1220115</v>
      </c>
      <c r="AY360" s="229">
        <v>0</v>
      </c>
      <c r="BA360" s="91"/>
      <c r="CK360" s="160"/>
      <c r="CL360" s="18"/>
      <c r="CM360" s="18"/>
      <c r="CN360" s="18"/>
      <c r="CO360" s="23"/>
      <c r="CP360" s="226"/>
      <c r="CQ360" s="169"/>
      <c r="CR360" s="170"/>
      <c r="CS360" s="23"/>
      <c r="CT360" s="169"/>
      <c r="DH360" s="232"/>
      <c r="DI360" s="234"/>
      <c r="DJ360" s="234"/>
      <c r="DK360" s="235"/>
      <c r="DL360" s="236"/>
      <c r="DM360" s="236"/>
      <c r="DN360" s="236"/>
      <c r="EF360" s="21"/>
      <c r="EG360" s="18"/>
      <c r="EH360" s="18"/>
      <c r="EI360" s="20"/>
      <c r="EY360" s="11"/>
      <c r="EZ360" s="11"/>
    </row>
    <row r="361" spans="46:157" x14ac:dyDescent="0.3">
      <c r="AT361" s="44" t="str">
        <f t="shared" si="120"/>
        <v>8_10T.L8.W</v>
      </c>
      <c r="AU361" s="18" t="s">
        <v>68</v>
      </c>
      <c r="AV361" s="18" t="s">
        <v>776</v>
      </c>
      <c r="AW361" s="20" t="s">
        <v>113</v>
      </c>
      <c r="AX361" s="228">
        <v>1220115</v>
      </c>
      <c r="AY361" s="229">
        <v>0</v>
      </c>
      <c r="BA361" s="91"/>
      <c r="CK361" s="160"/>
      <c r="CL361" s="18"/>
      <c r="CM361" s="18"/>
      <c r="CN361" s="18"/>
      <c r="CO361" s="23"/>
      <c r="CP361" s="226"/>
      <c r="CQ361" s="169"/>
      <c r="CR361" s="170"/>
      <c r="CS361" s="23"/>
      <c r="CT361" s="169"/>
      <c r="DH361" s="232"/>
      <c r="DI361" s="234"/>
      <c r="DJ361" s="234"/>
      <c r="DK361" s="235"/>
      <c r="DL361" s="236"/>
      <c r="DM361" s="236"/>
      <c r="DN361" s="236"/>
      <c r="EF361" s="19"/>
      <c r="EG361" s="18"/>
      <c r="EH361" s="18"/>
      <c r="EI361" s="18"/>
      <c r="EY361" s="20"/>
      <c r="EZ361" s="20"/>
      <c r="FA361" s="18"/>
    </row>
    <row r="362" spans="46:157" x14ac:dyDescent="0.3">
      <c r="AT362" s="44" t="str">
        <f t="shared" si="120"/>
        <v>8_12T.L8.W</v>
      </c>
      <c r="AU362" s="18" t="s">
        <v>68</v>
      </c>
      <c r="AV362" s="18" t="s">
        <v>791</v>
      </c>
      <c r="AW362" s="20" t="s">
        <v>113</v>
      </c>
      <c r="AX362" s="228">
        <v>1220115</v>
      </c>
      <c r="AY362" s="229">
        <v>0</v>
      </c>
      <c r="BA362" s="91"/>
      <c r="CK362" s="160"/>
      <c r="CL362" s="18"/>
      <c r="CM362" s="18"/>
      <c r="CN362" s="18"/>
      <c r="CO362" s="23"/>
      <c r="CP362" s="226"/>
      <c r="CQ362" s="169"/>
      <c r="CR362" s="161"/>
      <c r="CS362" s="23"/>
      <c r="CT362" s="23"/>
      <c r="DH362" s="232"/>
      <c r="DI362" s="234"/>
      <c r="DJ362" s="234"/>
      <c r="DK362" s="235"/>
      <c r="DL362" s="236"/>
      <c r="DM362" s="236"/>
      <c r="DN362" s="236"/>
      <c r="EF362" s="19"/>
      <c r="EG362" s="18"/>
      <c r="EH362" s="18"/>
      <c r="EI362" s="18"/>
      <c r="EY362" s="20"/>
      <c r="EZ362" s="20"/>
      <c r="FA362" s="18"/>
    </row>
    <row r="363" spans="46:157" x14ac:dyDescent="0.3">
      <c r="AT363" s="44" t="str">
        <f t="shared" si="120"/>
        <v>8_14S.L8.W</v>
      </c>
      <c r="AU363" s="18" t="s">
        <v>68</v>
      </c>
      <c r="AV363" s="18" t="s">
        <v>1046</v>
      </c>
      <c r="AW363" s="20" t="s">
        <v>113</v>
      </c>
      <c r="AX363" s="228">
        <v>1220115</v>
      </c>
      <c r="AY363" s="229">
        <v>0</v>
      </c>
      <c r="BA363" s="91"/>
      <c r="CK363" s="160"/>
      <c r="CL363" s="18"/>
      <c r="CM363" s="18"/>
      <c r="CN363" s="18"/>
      <c r="CO363" s="23"/>
      <c r="CP363" s="226"/>
      <c r="CQ363" s="169"/>
      <c r="CR363" s="161"/>
      <c r="CS363" s="23"/>
      <c r="CT363" s="23"/>
      <c r="DH363" s="232"/>
      <c r="DI363" s="234"/>
      <c r="DJ363" s="234"/>
      <c r="DK363" s="235"/>
      <c r="DL363" s="236"/>
      <c r="DM363" s="236"/>
      <c r="DN363" s="236"/>
      <c r="EF363" s="19"/>
      <c r="EG363" s="18"/>
      <c r="EH363" s="18"/>
      <c r="EI363" s="18"/>
      <c r="EY363" s="20"/>
      <c r="EZ363" s="20"/>
      <c r="FA363" s="18"/>
    </row>
    <row r="364" spans="46:157" x14ac:dyDescent="0.3">
      <c r="AT364" s="44" t="str">
        <f t="shared" si="120"/>
        <v>8_6T.L8.W</v>
      </c>
      <c r="AU364" s="18" t="s">
        <v>68</v>
      </c>
      <c r="AV364" s="18" t="s">
        <v>744</v>
      </c>
      <c r="AW364" s="20" t="s">
        <v>113</v>
      </c>
      <c r="AX364" s="228">
        <v>1220115</v>
      </c>
      <c r="AY364" s="229">
        <v>0</v>
      </c>
      <c r="BA364" s="91"/>
      <c r="CK364" s="160"/>
      <c r="CL364" s="18"/>
      <c r="CM364" s="18"/>
      <c r="CN364" s="18"/>
      <c r="CO364" s="23"/>
      <c r="CP364" s="226"/>
      <c r="CQ364" s="23"/>
      <c r="CR364" s="161"/>
      <c r="CS364" s="23"/>
      <c r="CT364" s="23"/>
      <c r="DH364" s="232"/>
      <c r="DI364" s="234"/>
      <c r="DJ364" s="234"/>
      <c r="DK364" s="235"/>
      <c r="DL364" s="236"/>
      <c r="DM364" s="236"/>
      <c r="DN364" s="236"/>
      <c r="EF364" s="21"/>
      <c r="EG364" s="18"/>
      <c r="EH364" s="18"/>
      <c r="EI364" s="18"/>
      <c r="EY364" s="18"/>
      <c r="EZ364" s="20"/>
      <c r="FA364" s="18"/>
    </row>
    <row r="365" spans="46:157" x14ac:dyDescent="0.3">
      <c r="AT365" s="44" t="str">
        <f t="shared" si="120"/>
        <v>8_8T.L8.W</v>
      </c>
      <c r="AU365" s="18" t="s">
        <v>68</v>
      </c>
      <c r="AV365" s="18" t="s">
        <v>754</v>
      </c>
      <c r="AW365" s="20" t="s">
        <v>113</v>
      </c>
      <c r="AX365" s="228">
        <v>1220115</v>
      </c>
      <c r="AY365" s="229">
        <v>0</v>
      </c>
      <c r="BA365" s="91"/>
      <c r="CK365" s="160"/>
      <c r="CL365" s="18"/>
      <c r="CM365" s="18"/>
      <c r="CN365" s="18"/>
      <c r="CO365" s="23"/>
      <c r="CP365" s="226"/>
      <c r="CQ365" s="23"/>
      <c r="CR365" s="161"/>
      <c r="CS365" s="23"/>
      <c r="CT365" s="23"/>
      <c r="DH365" s="232"/>
      <c r="DI365" s="234"/>
      <c r="DJ365" s="234"/>
      <c r="DK365" s="235"/>
      <c r="DL365" s="236"/>
      <c r="DM365" s="236"/>
      <c r="DN365" s="236"/>
      <c r="EF365" s="21"/>
      <c r="EG365" s="18"/>
      <c r="EH365" s="18"/>
      <c r="EI365" s="18"/>
      <c r="EY365" s="18"/>
      <c r="EZ365" s="20"/>
      <c r="FA365" s="18"/>
    </row>
    <row r="366" spans="46:157" x14ac:dyDescent="0.3">
      <c r="AT366" s="44" t="str">
        <f t="shared" si="120"/>
        <v>9_10T.L8.W</v>
      </c>
      <c r="AU366" s="18" t="s">
        <v>68</v>
      </c>
      <c r="AV366" s="18" t="s">
        <v>783</v>
      </c>
      <c r="AW366" s="20" t="s">
        <v>113</v>
      </c>
      <c r="AX366" s="228">
        <v>1220115</v>
      </c>
      <c r="AY366" s="229">
        <v>0</v>
      </c>
      <c r="BA366" s="91"/>
      <c r="CK366" s="160"/>
      <c r="CL366" s="18"/>
      <c r="CM366" s="18"/>
      <c r="CN366" s="18"/>
      <c r="CO366" s="23"/>
      <c r="CP366" s="226"/>
      <c r="CQ366" s="23"/>
      <c r="CR366" s="161"/>
      <c r="CS366" s="23"/>
      <c r="CT366" s="23"/>
      <c r="DH366" s="232"/>
      <c r="DI366" s="234"/>
      <c r="DJ366" s="234"/>
      <c r="DK366" s="235"/>
      <c r="DL366" s="236"/>
      <c r="DM366" s="236"/>
      <c r="DN366" s="236"/>
      <c r="EF366" s="19"/>
      <c r="EG366" s="18"/>
      <c r="EH366" s="18"/>
      <c r="EI366" s="18"/>
      <c r="EY366" s="18"/>
      <c r="EZ366" s="20"/>
      <c r="FA366" s="18"/>
    </row>
    <row r="367" spans="46:157" x14ac:dyDescent="0.3">
      <c r="AT367" s="44" t="str">
        <f t="shared" si="120"/>
        <v>9_12T.L8.W</v>
      </c>
      <c r="AU367" s="18" t="s">
        <v>68</v>
      </c>
      <c r="AV367" s="18" t="s">
        <v>804</v>
      </c>
      <c r="AW367" s="20" t="s">
        <v>113</v>
      </c>
      <c r="AX367" s="228">
        <v>1220115</v>
      </c>
      <c r="AY367" s="229">
        <v>0</v>
      </c>
      <c r="BA367" s="91"/>
      <c r="CK367" s="160"/>
      <c r="CL367" s="18"/>
      <c r="CM367" s="18"/>
      <c r="CN367" s="18"/>
      <c r="CO367" s="23"/>
      <c r="CP367" s="226"/>
      <c r="CQ367" s="23"/>
      <c r="CR367" s="161"/>
      <c r="CS367" s="23"/>
      <c r="CT367" s="23"/>
      <c r="DH367" s="232"/>
      <c r="DI367" s="234"/>
      <c r="DJ367" s="234"/>
      <c r="DK367" s="235"/>
      <c r="DL367" s="236"/>
      <c r="DM367" s="236"/>
      <c r="DN367" s="236"/>
      <c r="EF367" s="19"/>
      <c r="EG367" s="18"/>
      <c r="EH367" s="18"/>
      <c r="EI367" s="18"/>
      <c r="EY367" s="18"/>
      <c r="EZ367" s="20"/>
      <c r="FA367" s="18"/>
    </row>
    <row r="368" spans="46:157" x14ac:dyDescent="0.3">
      <c r="AT368" s="44" t="str">
        <f t="shared" si="120"/>
        <v>9_13T.L8.W</v>
      </c>
      <c r="AU368" s="18" t="s">
        <v>68</v>
      </c>
      <c r="AV368" s="18" t="s">
        <v>837</v>
      </c>
      <c r="AW368" s="20" t="s">
        <v>113</v>
      </c>
      <c r="AX368" s="228">
        <v>1220115</v>
      </c>
      <c r="AY368" s="229">
        <v>0</v>
      </c>
      <c r="BA368" s="91"/>
      <c r="CK368" s="160"/>
      <c r="CL368" s="18"/>
      <c r="CM368" s="18"/>
      <c r="CN368" s="18"/>
      <c r="CO368" s="23"/>
      <c r="CP368" s="226"/>
      <c r="CQ368" s="23"/>
      <c r="CR368" s="161"/>
      <c r="CS368" s="23"/>
      <c r="CT368" s="23"/>
      <c r="DH368" s="232"/>
      <c r="DI368" s="234"/>
      <c r="DJ368" s="234"/>
      <c r="DK368" s="235"/>
      <c r="DL368" s="236"/>
      <c r="DM368" s="236"/>
      <c r="DN368" s="236"/>
      <c r="EF368" s="19"/>
      <c r="EG368" s="18"/>
      <c r="EH368" s="18"/>
      <c r="EI368" s="18"/>
      <c r="EY368" s="18"/>
      <c r="EZ368" s="20"/>
      <c r="FA368" s="18"/>
    </row>
    <row r="369" spans="46:157" x14ac:dyDescent="0.3">
      <c r="AT369" s="44" t="str">
        <f t="shared" si="120"/>
        <v>9_14T.L8.W</v>
      </c>
      <c r="AU369" s="18" t="s">
        <v>68</v>
      </c>
      <c r="AV369" s="18" t="s">
        <v>874</v>
      </c>
      <c r="AW369" s="20" t="s">
        <v>113</v>
      </c>
      <c r="AX369" s="228">
        <v>1220115</v>
      </c>
      <c r="AY369" s="229">
        <v>0</v>
      </c>
      <c r="BA369" s="91"/>
      <c r="CK369" s="160"/>
      <c r="CL369" s="18"/>
      <c r="CM369" s="18"/>
      <c r="CN369" s="18"/>
      <c r="CO369" s="23"/>
      <c r="CP369" s="226"/>
      <c r="CQ369" s="23"/>
      <c r="CR369" s="161"/>
      <c r="CS369" s="23"/>
      <c r="CT369" s="23"/>
      <c r="DH369" s="232"/>
      <c r="DI369" s="234"/>
      <c r="DJ369" s="234"/>
      <c r="DK369" s="235"/>
      <c r="DL369" s="236"/>
      <c r="DM369" s="236"/>
      <c r="DN369" s="236"/>
      <c r="EF369" s="19"/>
      <c r="EG369" s="18"/>
      <c r="EH369" s="18"/>
      <c r="EI369" s="18"/>
      <c r="EY369" s="18"/>
      <c r="EZ369" s="20"/>
      <c r="FA369" s="18"/>
    </row>
    <row r="370" spans="46:157" x14ac:dyDescent="0.3">
      <c r="AT370" s="44" t="str">
        <f t="shared" si="120"/>
        <v>10_12T.LL.W</v>
      </c>
      <c r="AU370" s="18" t="s">
        <v>69</v>
      </c>
      <c r="AV370" s="18" t="s">
        <v>813</v>
      </c>
      <c r="AW370" s="20" t="s">
        <v>113</v>
      </c>
      <c r="AX370" s="228">
        <v>1220115</v>
      </c>
      <c r="AY370" s="229">
        <v>0</v>
      </c>
      <c r="BA370" s="91"/>
      <c r="CK370" s="160"/>
      <c r="CL370" s="18"/>
      <c r="CM370" s="18"/>
      <c r="CN370" s="18"/>
      <c r="CO370" s="23"/>
      <c r="CP370" s="226"/>
      <c r="CQ370" s="23"/>
      <c r="CR370" s="161"/>
      <c r="CS370" s="23"/>
      <c r="CT370" s="23"/>
      <c r="DH370" s="232"/>
      <c r="DI370" s="234"/>
      <c r="DJ370" s="234"/>
      <c r="DK370" s="235"/>
      <c r="DL370" s="236"/>
      <c r="DM370" s="236"/>
      <c r="DN370" s="236"/>
      <c r="EF370" s="19"/>
      <c r="EG370" s="18"/>
      <c r="EH370" s="18"/>
      <c r="EI370" s="20"/>
      <c r="EY370" s="18"/>
      <c r="EZ370" s="20"/>
      <c r="FA370" s="18"/>
    </row>
    <row r="371" spans="46:157" x14ac:dyDescent="0.3">
      <c r="AT371" s="44" t="str">
        <f t="shared" si="120"/>
        <v>10_13T.LL.W</v>
      </c>
      <c r="AU371" s="18" t="s">
        <v>69</v>
      </c>
      <c r="AV371" s="18" t="s">
        <v>848</v>
      </c>
      <c r="AW371" s="20" t="s">
        <v>113</v>
      </c>
      <c r="AX371" s="228">
        <v>1220115</v>
      </c>
      <c r="AY371" s="229">
        <v>0</v>
      </c>
      <c r="BA371" s="91"/>
      <c r="CK371" s="160"/>
      <c r="CL371" s="18"/>
      <c r="CM371" s="18"/>
      <c r="CN371" s="18"/>
      <c r="CO371" s="23"/>
      <c r="CP371" s="226"/>
      <c r="CQ371" s="23"/>
      <c r="CR371" s="161"/>
      <c r="CS371" s="23"/>
      <c r="CT371" s="23"/>
      <c r="DH371" s="232"/>
      <c r="DI371" s="234"/>
      <c r="DJ371" s="234"/>
      <c r="DK371" s="235"/>
      <c r="DL371" s="236"/>
      <c r="DM371" s="236"/>
      <c r="DN371" s="236"/>
      <c r="EF371" s="19"/>
      <c r="EG371" s="18"/>
      <c r="EH371" s="18"/>
      <c r="EI371" s="18"/>
      <c r="EY371" s="18"/>
      <c r="EZ371" s="20"/>
      <c r="FA371" s="18"/>
    </row>
    <row r="372" spans="46:157" x14ac:dyDescent="0.3">
      <c r="AT372" s="44" t="str">
        <f t="shared" si="120"/>
        <v>10_14S.LL.W</v>
      </c>
      <c r="AU372" s="18" t="s">
        <v>69</v>
      </c>
      <c r="AV372" s="18" t="s">
        <v>1122</v>
      </c>
      <c r="AW372" s="20" t="s">
        <v>113</v>
      </c>
      <c r="AX372" s="228">
        <v>1220115</v>
      </c>
      <c r="AY372" s="229">
        <v>0</v>
      </c>
      <c r="BA372" s="91"/>
      <c r="CK372" s="160"/>
      <c r="CL372" s="18"/>
      <c r="CM372" s="18"/>
      <c r="CN372" s="18"/>
      <c r="CO372" s="23"/>
      <c r="CP372" s="226"/>
      <c r="CQ372" s="23"/>
      <c r="CR372" s="161"/>
      <c r="CS372" s="23"/>
      <c r="CT372" s="23"/>
      <c r="DH372" s="232"/>
      <c r="DI372" s="234"/>
      <c r="DJ372" s="234"/>
      <c r="DK372" s="235"/>
      <c r="DL372" s="236"/>
      <c r="DM372" s="236"/>
      <c r="DN372" s="236"/>
      <c r="EF372" s="19"/>
      <c r="EG372" s="18"/>
      <c r="EH372" s="18"/>
      <c r="EI372" s="18"/>
      <c r="EY372" s="18"/>
      <c r="EZ372" s="20"/>
      <c r="FA372" s="18"/>
    </row>
    <row r="373" spans="46:157" x14ac:dyDescent="0.3">
      <c r="AT373" s="44" t="str">
        <f t="shared" si="120"/>
        <v>10_14T.LL.W</v>
      </c>
      <c r="AU373" s="18" t="s">
        <v>69</v>
      </c>
      <c r="AV373" s="18" t="s">
        <v>887</v>
      </c>
      <c r="AW373" s="20" t="s">
        <v>113</v>
      </c>
      <c r="AX373" s="228">
        <v>1220115</v>
      </c>
      <c r="AY373" s="229">
        <v>0</v>
      </c>
      <c r="BA373" s="91"/>
      <c r="CK373" s="160"/>
      <c r="CL373" s="18"/>
      <c r="CM373" s="18"/>
      <c r="CN373" s="18"/>
      <c r="CO373" s="23"/>
      <c r="CP373" s="226"/>
      <c r="CQ373" s="23"/>
      <c r="CR373" s="161"/>
      <c r="CS373" s="23"/>
      <c r="CT373" s="23"/>
      <c r="DH373" s="232"/>
      <c r="DI373" s="234"/>
      <c r="DJ373" s="234"/>
      <c r="DK373" s="235"/>
      <c r="DL373" s="236"/>
      <c r="DM373" s="236"/>
      <c r="DN373" s="236"/>
      <c r="EF373" s="19"/>
      <c r="EG373" s="18"/>
      <c r="EH373" s="18"/>
      <c r="EI373" s="18"/>
      <c r="EY373" s="18"/>
      <c r="EZ373" s="20"/>
      <c r="FA373" s="18"/>
    </row>
    <row r="374" spans="46:157" x14ac:dyDescent="0.3">
      <c r="AT374" s="44" t="str">
        <f t="shared" si="120"/>
        <v>11_12T.LL.W</v>
      </c>
      <c r="AU374" s="18" t="s">
        <v>69</v>
      </c>
      <c r="AV374" s="18" t="s">
        <v>825</v>
      </c>
      <c r="AW374" s="20" t="s">
        <v>113</v>
      </c>
      <c r="AX374" s="228">
        <v>1220115</v>
      </c>
      <c r="AY374" s="229">
        <v>0</v>
      </c>
      <c r="BA374" s="91"/>
      <c r="CK374" s="160"/>
      <c r="CL374" s="18"/>
      <c r="CM374" s="18"/>
      <c r="CN374" s="18"/>
      <c r="CO374" s="23"/>
      <c r="CP374" s="226"/>
      <c r="CQ374" s="23"/>
      <c r="CR374" s="161"/>
      <c r="CS374" s="23"/>
      <c r="CT374" s="23"/>
      <c r="DH374" s="232"/>
      <c r="DI374" s="234"/>
      <c r="DJ374" s="234"/>
      <c r="DK374" s="235"/>
      <c r="DL374" s="236"/>
      <c r="DM374" s="236"/>
      <c r="DN374" s="236"/>
      <c r="EF374" s="19"/>
      <c r="EG374" s="18"/>
      <c r="EH374" s="18"/>
      <c r="EI374" s="18"/>
      <c r="EY374" s="18"/>
      <c r="EZ374" s="20"/>
      <c r="FA374" s="18"/>
    </row>
    <row r="375" spans="46:157" x14ac:dyDescent="0.3">
      <c r="AT375" s="44" t="str">
        <f t="shared" si="120"/>
        <v>11_13T.LL.W</v>
      </c>
      <c r="AU375" s="18" t="s">
        <v>69</v>
      </c>
      <c r="AV375" s="18" t="s">
        <v>857</v>
      </c>
      <c r="AW375" s="20" t="s">
        <v>113</v>
      </c>
      <c r="AX375" s="228">
        <v>1220115</v>
      </c>
      <c r="AY375" s="229">
        <v>0</v>
      </c>
      <c r="BA375" s="91"/>
      <c r="CK375" s="160"/>
      <c r="CL375" s="18"/>
      <c r="CM375" s="18"/>
      <c r="CN375" s="18"/>
      <c r="CO375" s="23"/>
      <c r="CP375" s="226"/>
      <c r="CQ375" s="23"/>
      <c r="CR375" s="161"/>
      <c r="CS375" s="23"/>
      <c r="CT375" s="23"/>
      <c r="DH375" s="232"/>
      <c r="DI375" s="234"/>
      <c r="DJ375" s="234"/>
      <c r="DK375" s="235"/>
      <c r="DL375" s="236"/>
      <c r="DM375" s="236"/>
      <c r="DN375" s="236"/>
      <c r="EF375" s="21"/>
      <c r="EG375" s="18"/>
      <c r="EH375" s="18"/>
      <c r="EI375" s="18"/>
      <c r="EY375" s="18"/>
      <c r="EZ375" s="20"/>
      <c r="FA375" s="18"/>
    </row>
    <row r="376" spans="46:157" x14ac:dyDescent="0.3">
      <c r="AT376" s="44" t="str">
        <f t="shared" si="120"/>
        <v>11_14T.LL.W</v>
      </c>
      <c r="AU376" s="18" t="s">
        <v>69</v>
      </c>
      <c r="AV376" s="18" t="s">
        <v>900</v>
      </c>
      <c r="AW376" s="20" t="s">
        <v>113</v>
      </c>
      <c r="AX376" s="228">
        <v>1220115</v>
      </c>
      <c r="AY376" s="229">
        <v>0</v>
      </c>
      <c r="BA376" s="91"/>
      <c r="CK376" s="160"/>
      <c r="CL376" s="18"/>
      <c r="CM376" s="18"/>
      <c r="CN376" s="18"/>
      <c r="CO376" s="23"/>
      <c r="CP376" s="226"/>
      <c r="CQ376" s="23"/>
      <c r="CR376" s="161"/>
      <c r="CS376" s="23"/>
      <c r="CT376" s="23"/>
      <c r="DH376" s="232"/>
      <c r="DI376" s="234"/>
      <c r="DJ376" s="234"/>
      <c r="DK376" s="235"/>
      <c r="DL376" s="236"/>
      <c r="DM376" s="236"/>
      <c r="DN376" s="236"/>
      <c r="EF376" s="19"/>
      <c r="EG376" s="18"/>
      <c r="EH376" s="18"/>
      <c r="EI376" s="18"/>
      <c r="EY376" s="18"/>
      <c r="EZ376" s="20"/>
      <c r="FA376" s="18"/>
    </row>
    <row r="377" spans="46:157" x14ac:dyDescent="0.3">
      <c r="AT377" s="44" t="str">
        <f t="shared" si="120"/>
        <v>12_13T.LL.W</v>
      </c>
      <c r="AU377" s="18" t="s">
        <v>69</v>
      </c>
      <c r="AV377" s="18" t="s">
        <v>865</v>
      </c>
      <c r="AW377" s="20" t="s">
        <v>113</v>
      </c>
      <c r="AX377" s="228">
        <v>1220115</v>
      </c>
      <c r="AY377" s="229">
        <v>0</v>
      </c>
      <c r="BA377" s="91"/>
      <c r="CK377" s="160"/>
      <c r="CL377" s="18"/>
      <c r="CM377" s="18"/>
      <c r="CN377" s="18"/>
      <c r="CO377" s="23"/>
      <c r="CP377" s="226"/>
      <c r="CQ377" s="23"/>
      <c r="CR377" s="161"/>
      <c r="CS377" s="23"/>
      <c r="CT377" s="23"/>
      <c r="DH377" s="232"/>
      <c r="DI377" s="234"/>
      <c r="DJ377" s="234"/>
      <c r="DK377" s="235"/>
      <c r="DL377" s="236"/>
      <c r="DM377" s="236"/>
      <c r="DN377" s="236"/>
      <c r="EF377" s="19"/>
      <c r="EG377" s="18"/>
      <c r="EH377" s="18"/>
      <c r="EI377" s="20"/>
      <c r="EY377" s="18"/>
      <c r="EZ377" s="20"/>
      <c r="FA377" s="18"/>
    </row>
    <row r="378" spans="46:157" x14ac:dyDescent="0.3">
      <c r="AT378" s="44" t="str">
        <f t="shared" si="120"/>
        <v>12_14F.LL.W</v>
      </c>
      <c r="AU378" s="18" t="s">
        <v>69</v>
      </c>
      <c r="AV378" s="18" t="s">
        <v>583</v>
      </c>
      <c r="AW378" s="20" t="s">
        <v>113</v>
      </c>
      <c r="AX378" s="228">
        <v>1220115</v>
      </c>
      <c r="AY378" s="229">
        <v>0</v>
      </c>
      <c r="BA378" s="91"/>
      <c r="CK378" s="160"/>
      <c r="CL378" s="18"/>
      <c r="CM378" s="18"/>
      <c r="CN378" s="18"/>
      <c r="CO378" s="23"/>
      <c r="CP378" s="226"/>
      <c r="CQ378" s="23"/>
      <c r="CR378" s="161"/>
      <c r="CS378" s="23"/>
      <c r="CT378" s="23"/>
      <c r="DH378" s="232"/>
      <c r="DI378" s="234"/>
      <c r="DJ378" s="234"/>
      <c r="DK378" s="235"/>
      <c r="DL378" s="236"/>
      <c r="DM378" s="236"/>
      <c r="DN378" s="236"/>
      <c r="EF378" s="19"/>
      <c r="EG378" s="18"/>
      <c r="EH378" s="18"/>
      <c r="EI378" s="20"/>
      <c r="EY378" s="18"/>
      <c r="EZ378" s="20"/>
      <c r="FA378" s="18"/>
    </row>
    <row r="379" spans="46:157" x14ac:dyDescent="0.3">
      <c r="AT379" s="44" t="str">
        <f t="shared" si="120"/>
        <v>12_14T.LL.W</v>
      </c>
      <c r="AU379" s="18" t="s">
        <v>69</v>
      </c>
      <c r="AV379" s="18" t="s">
        <v>913</v>
      </c>
      <c r="AW379" s="20" t="s">
        <v>113</v>
      </c>
      <c r="AX379" s="228">
        <v>1220115</v>
      </c>
      <c r="AY379" s="229">
        <v>0</v>
      </c>
      <c r="BA379" s="91"/>
      <c r="CK379" s="160"/>
      <c r="CL379" s="18"/>
      <c r="CM379" s="18"/>
      <c r="CN379" s="18"/>
      <c r="CO379" s="23"/>
      <c r="CP379" s="226"/>
      <c r="CQ379" s="23"/>
      <c r="CR379" s="161"/>
      <c r="CS379" s="23"/>
      <c r="CT379" s="23"/>
      <c r="DH379" s="232"/>
      <c r="DI379" s="234"/>
      <c r="DJ379" s="234"/>
      <c r="DK379" s="235"/>
      <c r="DL379" s="236"/>
      <c r="DM379" s="236"/>
      <c r="DN379" s="236"/>
      <c r="EF379" s="19"/>
      <c r="EG379" s="18"/>
      <c r="EH379" s="18"/>
      <c r="EI379" s="18"/>
      <c r="EY379" s="18"/>
      <c r="EZ379" s="20"/>
      <c r="FA379" s="18"/>
    </row>
    <row r="380" spans="46:157" x14ac:dyDescent="0.3">
      <c r="AT380" s="44" t="str">
        <f t="shared" si="120"/>
        <v>12_15T.LL.W</v>
      </c>
      <c r="AU380" s="18" t="s">
        <v>69</v>
      </c>
      <c r="AV380" s="18" t="s">
        <v>941</v>
      </c>
      <c r="AW380" s="20" t="s">
        <v>113</v>
      </c>
      <c r="AX380" s="228">
        <v>1220115</v>
      </c>
      <c r="AY380" s="229">
        <v>0</v>
      </c>
      <c r="BA380" s="91"/>
      <c r="CK380" s="160"/>
      <c r="CL380" s="18"/>
      <c r="CM380" s="18"/>
      <c r="CN380" s="18"/>
      <c r="CO380" s="23"/>
      <c r="CP380" s="226"/>
      <c r="CQ380" s="23"/>
      <c r="CR380" s="161"/>
      <c r="CS380" s="23"/>
      <c r="CT380" s="23"/>
      <c r="DH380" s="232"/>
      <c r="DI380" s="234"/>
      <c r="DJ380" s="234"/>
      <c r="DK380" s="235"/>
      <c r="DL380" s="236"/>
      <c r="DM380" s="236"/>
      <c r="DN380" s="236"/>
      <c r="EF380" s="19"/>
      <c r="EG380" s="18"/>
      <c r="EH380" s="18"/>
      <c r="EI380" s="20"/>
      <c r="EY380" s="18"/>
      <c r="EZ380" s="20"/>
      <c r="FA380" s="18"/>
    </row>
    <row r="381" spans="46:157" x14ac:dyDescent="0.3">
      <c r="AT381" s="44" t="str">
        <f t="shared" si="120"/>
        <v>12_18B.LL.W</v>
      </c>
      <c r="AU381" s="18" t="s">
        <v>69</v>
      </c>
      <c r="AV381" s="18" t="s">
        <v>133</v>
      </c>
      <c r="AW381" s="20" t="s">
        <v>113</v>
      </c>
      <c r="AX381" s="228">
        <v>1220115</v>
      </c>
      <c r="AY381" s="229">
        <v>0</v>
      </c>
      <c r="BA381" s="91"/>
      <c r="CK381" s="160"/>
      <c r="CL381" s="18"/>
      <c r="CM381" s="18"/>
      <c r="CN381" s="18"/>
      <c r="CO381" s="23"/>
      <c r="CP381" s="226"/>
      <c r="CQ381" s="23"/>
      <c r="CR381" s="161"/>
      <c r="CS381" s="23"/>
      <c r="CT381" s="23"/>
      <c r="DH381" s="232"/>
      <c r="DI381" s="234"/>
      <c r="DJ381" s="234"/>
      <c r="DK381" s="235"/>
      <c r="DL381" s="236"/>
      <c r="DM381" s="236"/>
      <c r="DN381" s="236"/>
      <c r="EF381" s="19"/>
      <c r="EG381" s="18"/>
      <c r="EH381" s="18"/>
      <c r="EI381" s="20"/>
      <c r="EY381" s="18"/>
      <c r="EZ381" s="20"/>
      <c r="FA381" s="18"/>
    </row>
    <row r="382" spans="46:157" x14ac:dyDescent="0.3">
      <c r="AT382" s="44" t="str">
        <f t="shared" si="120"/>
        <v>12_20B.LL.W</v>
      </c>
      <c r="AU382" s="18" t="s">
        <v>69</v>
      </c>
      <c r="AV382" s="18" t="s">
        <v>217</v>
      </c>
      <c r="AW382" s="20" t="s">
        <v>113</v>
      </c>
      <c r="AX382" s="228">
        <v>1220115</v>
      </c>
      <c r="AY382" s="229">
        <v>0</v>
      </c>
      <c r="BA382" s="91"/>
      <c r="CK382" s="160"/>
      <c r="CL382" s="18"/>
      <c r="CM382" s="18"/>
      <c r="CN382" s="18"/>
      <c r="CO382" s="23"/>
      <c r="CP382" s="226"/>
      <c r="CQ382" s="23"/>
      <c r="CR382" s="161"/>
      <c r="CS382" s="23"/>
      <c r="CT382" s="23"/>
      <c r="DH382" s="232"/>
      <c r="DI382" s="234"/>
      <c r="DJ382" s="234"/>
      <c r="DK382" s="235"/>
      <c r="DL382" s="236"/>
      <c r="DM382" s="236"/>
      <c r="DN382" s="236"/>
      <c r="EF382" s="21"/>
      <c r="EG382" s="18"/>
      <c r="EH382" s="18"/>
      <c r="EI382" s="20"/>
      <c r="EY382" s="18"/>
      <c r="EZ382" s="20"/>
      <c r="FA382" s="18"/>
    </row>
    <row r="383" spans="46:157" x14ac:dyDescent="0.3">
      <c r="AT383" s="44" t="str">
        <f t="shared" si="120"/>
        <v>12_22B.LL.W</v>
      </c>
      <c r="AU383" s="18" t="s">
        <v>69</v>
      </c>
      <c r="AV383" s="18" t="s">
        <v>330</v>
      </c>
      <c r="AW383" s="20" t="s">
        <v>113</v>
      </c>
      <c r="AX383" s="228">
        <v>1220115</v>
      </c>
      <c r="AY383" s="229">
        <v>0</v>
      </c>
      <c r="BA383" s="91"/>
      <c r="CK383" s="160"/>
      <c r="CL383" s="18"/>
      <c r="CM383" s="18"/>
      <c r="CN383" s="18"/>
      <c r="CO383" s="23"/>
      <c r="CP383" s="226"/>
      <c r="CQ383" s="23"/>
      <c r="CR383" s="161"/>
      <c r="CS383" s="23"/>
      <c r="CT383" s="23"/>
      <c r="DH383" s="232"/>
      <c r="DI383" s="234"/>
      <c r="DJ383" s="234"/>
      <c r="DK383" s="235"/>
      <c r="DL383" s="236"/>
      <c r="DM383" s="236"/>
      <c r="DN383" s="236"/>
      <c r="EF383" s="21"/>
      <c r="EG383" s="18"/>
      <c r="EH383" s="18"/>
      <c r="EI383" s="20"/>
      <c r="EY383" s="18"/>
      <c r="EZ383" s="20"/>
      <c r="FA383" s="18"/>
    </row>
    <row r="384" spans="46:157" x14ac:dyDescent="0.3">
      <c r="AT384" s="44" t="str">
        <f t="shared" si="120"/>
        <v>12_24B.LL.W</v>
      </c>
      <c r="AU384" s="18" t="s">
        <v>69</v>
      </c>
      <c r="AV384" s="18" t="s">
        <v>413</v>
      </c>
      <c r="AW384" s="20" t="s">
        <v>113</v>
      </c>
      <c r="AX384" s="228">
        <v>1220115</v>
      </c>
      <c r="AY384" s="229">
        <v>0</v>
      </c>
      <c r="BA384" s="91"/>
      <c r="CK384" s="160"/>
      <c r="CL384" s="18"/>
      <c r="CM384" s="18"/>
      <c r="CN384" s="18"/>
      <c r="CO384" s="23"/>
      <c r="CP384" s="226"/>
      <c r="CQ384" s="23"/>
      <c r="CR384" s="161"/>
      <c r="CS384" s="23"/>
      <c r="CT384" s="23"/>
      <c r="DH384" s="232"/>
      <c r="DI384" s="234"/>
      <c r="DJ384" s="234"/>
      <c r="DK384" s="235"/>
      <c r="DL384" s="236"/>
      <c r="DM384" s="236"/>
      <c r="DN384" s="236"/>
      <c r="EF384" s="19"/>
      <c r="EG384" s="18"/>
      <c r="EH384" s="18"/>
      <c r="EI384" s="20"/>
      <c r="EY384" s="18"/>
      <c r="EZ384" s="20"/>
      <c r="FA384" s="18"/>
    </row>
    <row r="385" spans="46:157" x14ac:dyDescent="0.3">
      <c r="AT385" s="44" t="str">
        <f t="shared" si="120"/>
        <v>12_26B.LL.W</v>
      </c>
      <c r="AU385" s="18" t="s">
        <v>69</v>
      </c>
      <c r="AV385" s="18" t="s">
        <v>494</v>
      </c>
      <c r="AW385" s="20" t="s">
        <v>113</v>
      </c>
      <c r="AX385" s="228">
        <v>1220115</v>
      </c>
      <c r="AY385" s="229">
        <v>0</v>
      </c>
      <c r="BA385" s="91"/>
      <c r="CK385" s="160"/>
      <c r="CL385" s="18"/>
      <c r="CM385" s="18"/>
      <c r="CN385" s="18"/>
      <c r="CO385" s="23"/>
      <c r="CP385" s="226"/>
      <c r="CQ385" s="23"/>
      <c r="CR385" s="161"/>
      <c r="CS385" s="23"/>
      <c r="CT385" s="23"/>
      <c r="DH385" s="232"/>
      <c r="DI385" s="234"/>
      <c r="DJ385" s="234"/>
      <c r="DK385" s="235"/>
      <c r="DL385" s="236"/>
      <c r="DM385" s="236"/>
      <c r="DN385" s="236"/>
      <c r="EF385" s="21"/>
      <c r="EG385" s="18"/>
      <c r="EH385" s="18"/>
      <c r="EI385" s="20"/>
      <c r="EY385" s="18"/>
      <c r="EZ385" s="20"/>
      <c r="FA385" s="18"/>
    </row>
    <row r="386" spans="46:157" x14ac:dyDescent="0.3">
      <c r="AT386" s="44" t="str">
        <f t="shared" si="120"/>
        <v>13_14F.LL.W</v>
      </c>
      <c r="AU386" s="18" t="s">
        <v>69</v>
      </c>
      <c r="AV386" s="18" t="s">
        <v>602</v>
      </c>
      <c r="AW386" s="20" t="s">
        <v>113</v>
      </c>
      <c r="AX386" s="228">
        <v>1220115</v>
      </c>
      <c r="AY386" s="229">
        <v>0</v>
      </c>
      <c r="BA386" s="91"/>
      <c r="CK386" s="160"/>
      <c r="CL386" s="18"/>
      <c r="CM386" s="18"/>
      <c r="CN386" s="18"/>
      <c r="CO386" s="23"/>
      <c r="CP386" s="226"/>
      <c r="CQ386" s="23"/>
      <c r="CR386" s="161"/>
      <c r="CS386" s="23"/>
      <c r="CT386" s="23"/>
      <c r="DH386" s="232"/>
      <c r="DI386" s="234"/>
      <c r="DJ386" s="234"/>
      <c r="DK386" s="235"/>
      <c r="DL386" s="236"/>
      <c r="DM386" s="236"/>
      <c r="DN386" s="236"/>
      <c r="EF386" s="21"/>
      <c r="EG386" s="18"/>
      <c r="EH386" s="18"/>
      <c r="EI386" s="18"/>
      <c r="EY386" s="18"/>
      <c r="EZ386" s="20"/>
      <c r="FA386" s="18"/>
    </row>
    <row r="387" spans="46:157" x14ac:dyDescent="0.3">
      <c r="AT387" s="44" t="str">
        <f t="shared" si="120"/>
        <v>13_14T.LL.W</v>
      </c>
      <c r="AU387" s="18" t="s">
        <v>69</v>
      </c>
      <c r="AV387" s="18" t="s">
        <v>926</v>
      </c>
      <c r="AW387" s="20" t="s">
        <v>113</v>
      </c>
      <c r="AX387" s="228">
        <v>1220115</v>
      </c>
      <c r="AY387" s="229">
        <v>0</v>
      </c>
      <c r="BA387" s="91"/>
      <c r="CK387" s="160"/>
      <c r="CL387" s="18"/>
      <c r="CM387" s="18"/>
      <c r="CN387" s="18"/>
      <c r="CO387" s="23"/>
      <c r="CP387" s="226"/>
      <c r="CQ387" s="23"/>
      <c r="CR387" s="161"/>
      <c r="CS387" s="23"/>
      <c r="CT387" s="23"/>
      <c r="DH387" s="232"/>
      <c r="DI387" s="234"/>
      <c r="DJ387" s="234"/>
      <c r="DK387" s="235"/>
      <c r="DL387" s="236"/>
      <c r="DM387" s="236"/>
      <c r="DN387" s="236"/>
      <c r="EF387" s="21"/>
      <c r="EG387" s="18"/>
      <c r="EH387" s="18"/>
      <c r="EI387" s="20"/>
      <c r="EY387" s="18"/>
      <c r="EZ387" s="20"/>
      <c r="FA387" s="18"/>
    </row>
    <row r="388" spans="46:157" x14ac:dyDescent="0.3">
      <c r="AT388" s="44" t="str">
        <f t="shared" si="120"/>
        <v>13_15F.LL.W</v>
      </c>
      <c r="AU388" s="18" t="s">
        <v>69</v>
      </c>
      <c r="AV388" s="18" t="s">
        <v>630</v>
      </c>
      <c r="AW388" s="20" t="s">
        <v>113</v>
      </c>
      <c r="AX388" s="228">
        <v>1220115</v>
      </c>
      <c r="AY388" s="229">
        <v>0</v>
      </c>
      <c r="BA388" s="91"/>
      <c r="CK388" s="160"/>
      <c r="CL388" s="18"/>
      <c r="CM388" s="18"/>
      <c r="CN388" s="18"/>
      <c r="CO388" s="23"/>
      <c r="CP388" s="226"/>
      <c r="CQ388" s="23"/>
      <c r="CR388" s="161"/>
      <c r="CS388" s="23"/>
      <c r="CT388" s="23"/>
      <c r="DH388" s="232"/>
      <c r="DI388" s="234"/>
      <c r="DJ388" s="234"/>
      <c r="DK388" s="235"/>
      <c r="DL388" s="236"/>
      <c r="DM388" s="236"/>
      <c r="DN388" s="236"/>
      <c r="EF388" s="21"/>
      <c r="EG388" s="18"/>
      <c r="EH388" s="18"/>
      <c r="EI388" s="20"/>
      <c r="EY388" s="18"/>
      <c r="EZ388" s="20"/>
      <c r="FA388" s="18"/>
    </row>
    <row r="389" spans="46:157" x14ac:dyDescent="0.3">
      <c r="AT389" s="44" t="str">
        <f t="shared" si="120"/>
        <v>13_15T.LL.W</v>
      </c>
      <c r="AU389" s="18" t="s">
        <v>69</v>
      </c>
      <c r="AV389" s="18" t="s">
        <v>949</v>
      </c>
      <c r="AW389" s="20" t="s">
        <v>113</v>
      </c>
      <c r="AX389" s="228">
        <v>1220115</v>
      </c>
      <c r="AY389" s="229">
        <v>0</v>
      </c>
      <c r="BA389" s="91"/>
      <c r="CK389" s="160"/>
      <c r="CL389" s="18"/>
      <c r="CM389" s="18"/>
      <c r="CN389" s="18"/>
      <c r="CO389" s="23"/>
      <c r="CP389" s="226"/>
      <c r="CQ389" s="23"/>
      <c r="CR389" s="161"/>
      <c r="CS389" s="23"/>
      <c r="CT389" s="23"/>
      <c r="DH389" s="232"/>
      <c r="DI389" s="234"/>
      <c r="DJ389" s="234"/>
      <c r="DK389" s="235"/>
      <c r="DL389" s="236"/>
      <c r="DM389" s="236"/>
      <c r="DN389" s="236"/>
      <c r="EF389" s="21"/>
      <c r="EG389" s="18"/>
      <c r="EH389" s="18"/>
      <c r="EI389" s="20"/>
      <c r="EY389" s="18"/>
      <c r="EZ389" s="20"/>
      <c r="FA389" s="18"/>
    </row>
    <row r="390" spans="46:157" x14ac:dyDescent="0.3">
      <c r="AT390" s="44" t="str">
        <f t="shared" si="120"/>
        <v>13_16F.LL.W</v>
      </c>
      <c r="AU390" s="18" t="s">
        <v>69</v>
      </c>
      <c r="AV390" s="18" t="s">
        <v>665</v>
      </c>
      <c r="AW390" s="20" t="s">
        <v>113</v>
      </c>
      <c r="AX390" s="228">
        <v>1220115</v>
      </c>
      <c r="AY390" s="229">
        <v>0</v>
      </c>
      <c r="BA390" s="91"/>
      <c r="CK390" s="160"/>
      <c r="CL390" s="18"/>
      <c r="CM390" s="18"/>
      <c r="CN390" s="18"/>
      <c r="CO390" s="23"/>
      <c r="CP390" s="226"/>
      <c r="CQ390" s="23"/>
      <c r="CR390" s="161"/>
      <c r="CS390" s="23"/>
      <c r="CT390" s="23"/>
      <c r="DH390" s="232"/>
      <c r="DI390" s="234"/>
      <c r="DJ390" s="234"/>
      <c r="DK390" s="235"/>
      <c r="DL390" s="236"/>
      <c r="DM390" s="236"/>
      <c r="DN390" s="236"/>
      <c r="EF390" s="21"/>
      <c r="EG390" s="18"/>
      <c r="EH390" s="18"/>
      <c r="EI390" s="18"/>
      <c r="EY390" s="18"/>
      <c r="EZ390" s="20"/>
      <c r="FA390" s="18"/>
    </row>
    <row r="391" spans="46:157" x14ac:dyDescent="0.3">
      <c r="AT391" s="44" t="str">
        <f t="shared" si="120"/>
        <v>13_16T.LL.W</v>
      </c>
      <c r="AU391" s="18" t="s">
        <v>69</v>
      </c>
      <c r="AV391" s="18" t="s">
        <v>963</v>
      </c>
      <c r="AW391" s="20" t="s">
        <v>113</v>
      </c>
      <c r="AX391" s="228">
        <v>1220115</v>
      </c>
      <c r="AY391" s="229">
        <v>0</v>
      </c>
      <c r="BA391" s="91"/>
      <c r="CK391" s="160"/>
      <c r="CL391" s="18"/>
      <c r="CM391" s="18"/>
      <c r="CN391" s="18"/>
      <c r="CO391" s="23"/>
      <c r="CP391" s="226"/>
      <c r="CQ391" s="23"/>
      <c r="CR391" s="161"/>
      <c r="CS391" s="23"/>
      <c r="CT391" s="23"/>
      <c r="DH391" s="232"/>
      <c r="DI391" s="234"/>
      <c r="DJ391" s="234"/>
      <c r="DK391" s="235"/>
      <c r="DL391" s="236"/>
      <c r="DM391" s="236"/>
      <c r="DN391" s="236"/>
      <c r="EF391" s="19"/>
      <c r="EG391" s="18"/>
      <c r="EH391" s="18"/>
      <c r="EI391" s="18"/>
      <c r="EY391" s="18"/>
      <c r="EZ391" s="20"/>
      <c r="FA391" s="18"/>
    </row>
    <row r="392" spans="46:157" x14ac:dyDescent="0.3">
      <c r="AT392" s="44" t="str">
        <f t="shared" si="120"/>
        <v>14_14F.LL.W</v>
      </c>
      <c r="AU392" s="18" t="s">
        <v>69</v>
      </c>
      <c r="AV392" s="18" t="s">
        <v>616</v>
      </c>
      <c r="AW392" s="20" t="s">
        <v>113</v>
      </c>
      <c r="AX392" s="228">
        <v>1220115</v>
      </c>
      <c r="AY392" s="229">
        <v>0</v>
      </c>
      <c r="BA392" s="91"/>
      <c r="CK392" s="160"/>
      <c r="CL392" s="18"/>
      <c r="CM392" s="18"/>
      <c r="CN392" s="18"/>
      <c r="CO392" s="23"/>
      <c r="CP392" s="226"/>
      <c r="CQ392" s="23"/>
      <c r="CR392" s="161"/>
      <c r="CS392" s="23"/>
      <c r="CT392" s="23"/>
      <c r="DH392" s="232"/>
      <c r="DI392" s="234"/>
      <c r="DJ392" s="234"/>
      <c r="DK392" s="235"/>
      <c r="DL392" s="236"/>
      <c r="DM392" s="236"/>
      <c r="DN392" s="236"/>
      <c r="EF392" s="21"/>
      <c r="EG392" s="18"/>
      <c r="EH392" s="18"/>
      <c r="EI392" s="18"/>
      <c r="EY392" s="18"/>
      <c r="EZ392" s="20"/>
      <c r="FA392" s="18"/>
    </row>
    <row r="393" spans="46:157" x14ac:dyDescent="0.3">
      <c r="AT393" s="44" t="str">
        <f t="shared" si="120"/>
        <v>14_14T.LL.W</v>
      </c>
      <c r="AU393" s="18" t="s">
        <v>69</v>
      </c>
      <c r="AV393" s="18" t="s">
        <v>933</v>
      </c>
      <c r="AW393" s="20" t="s">
        <v>113</v>
      </c>
      <c r="AX393" s="228">
        <v>1220115</v>
      </c>
      <c r="AY393" s="229">
        <v>0</v>
      </c>
      <c r="BA393" s="91"/>
      <c r="CK393" s="160"/>
      <c r="CL393" s="18"/>
      <c r="CM393" s="18"/>
      <c r="CN393" s="18"/>
      <c r="CO393" s="23"/>
      <c r="CP393" s="226"/>
      <c r="CQ393" s="23"/>
      <c r="CR393" s="161"/>
      <c r="CS393" s="23"/>
      <c r="CT393" s="23"/>
      <c r="DH393" s="232"/>
      <c r="DI393" s="234"/>
      <c r="DJ393" s="234"/>
      <c r="DK393" s="235"/>
      <c r="DL393" s="236"/>
      <c r="DM393" s="236"/>
      <c r="DN393" s="236"/>
      <c r="EF393" s="21"/>
      <c r="EG393" s="18"/>
      <c r="EH393" s="18"/>
      <c r="EI393" s="18"/>
      <c r="EY393" s="18"/>
      <c r="EZ393" s="20"/>
      <c r="FA393" s="18"/>
    </row>
    <row r="394" spans="46:157" x14ac:dyDescent="0.3">
      <c r="AT394" s="44" t="str">
        <f t="shared" si="120"/>
        <v>14_15F.LL.W</v>
      </c>
      <c r="AU394" s="18" t="s">
        <v>69</v>
      </c>
      <c r="AV394" s="18" t="s">
        <v>647</v>
      </c>
      <c r="AW394" s="20" t="s">
        <v>113</v>
      </c>
      <c r="AX394" s="228">
        <v>1220115</v>
      </c>
      <c r="AY394" s="229">
        <v>0</v>
      </c>
      <c r="BA394" s="91"/>
      <c r="CK394" s="160"/>
      <c r="CL394" s="18"/>
      <c r="CM394" s="18"/>
      <c r="CN394" s="18"/>
      <c r="CO394" s="23"/>
      <c r="CP394" s="226"/>
      <c r="CQ394" s="23"/>
      <c r="CR394" s="161"/>
      <c r="CS394" s="23"/>
      <c r="CT394" s="23"/>
      <c r="DH394" s="232"/>
      <c r="DI394" s="234"/>
      <c r="DJ394" s="234"/>
      <c r="DK394" s="235"/>
      <c r="DL394" s="236"/>
      <c r="DM394" s="236"/>
      <c r="DN394" s="236"/>
      <c r="EF394" s="21"/>
      <c r="EG394" s="18"/>
      <c r="EH394" s="18"/>
      <c r="EI394" s="20"/>
      <c r="EY394" s="18"/>
      <c r="EZ394" s="20"/>
      <c r="FA394" s="18"/>
    </row>
    <row r="395" spans="46:157" x14ac:dyDescent="0.3">
      <c r="AT395" s="44" t="str">
        <f t="shared" si="120"/>
        <v>14_15T.LL.W</v>
      </c>
      <c r="AU395" s="18" t="s">
        <v>69</v>
      </c>
      <c r="AV395" s="18" t="s">
        <v>956</v>
      </c>
      <c r="AW395" s="20" t="s">
        <v>113</v>
      </c>
      <c r="AX395" s="228">
        <v>1220115</v>
      </c>
      <c r="AY395" s="229">
        <v>0</v>
      </c>
      <c r="BA395" s="91"/>
      <c r="CK395" s="160"/>
      <c r="CL395" s="18"/>
      <c r="CM395" s="18"/>
      <c r="CN395" s="18"/>
      <c r="CO395" s="23"/>
      <c r="CP395" s="226"/>
      <c r="CQ395" s="23"/>
      <c r="CR395" s="161"/>
      <c r="CS395" s="23"/>
      <c r="CT395" s="23"/>
      <c r="DH395" s="232"/>
      <c r="DI395" s="234"/>
      <c r="DJ395" s="234"/>
      <c r="DK395" s="235"/>
      <c r="DL395" s="236"/>
      <c r="DM395" s="236"/>
      <c r="DN395" s="236"/>
      <c r="EF395" s="19"/>
      <c r="EG395" s="18"/>
      <c r="EH395" s="18"/>
      <c r="EI395" s="18"/>
      <c r="EY395" s="18"/>
      <c r="EZ395" s="20"/>
      <c r="FA395" s="18"/>
    </row>
    <row r="396" spans="46:157" x14ac:dyDescent="0.3">
      <c r="AT396" s="44" t="str">
        <f t="shared" si="120"/>
        <v>14_16F.LL.W</v>
      </c>
      <c r="AU396" s="18" t="s">
        <v>69</v>
      </c>
      <c r="AV396" s="18" t="s">
        <v>681</v>
      </c>
      <c r="AW396" s="20" t="s">
        <v>113</v>
      </c>
      <c r="AX396" s="228">
        <v>1220115</v>
      </c>
      <c r="AY396" s="229">
        <v>0</v>
      </c>
      <c r="BA396" s="91"/>
      <c r="CK396" s="160"/>
      <c r="CL396" s="18"/>
      <c r="CM396" s="18"/>
      <c r="CN396" s="18"/>
      <c r="CO396" s="23"/>
      <c r="CP396" s="226"/>
      <c r="CQ396" s="23"/>
      <c r="CR396" s="161"/>
      <c r="CS396" s="23"/>
      <c r="CT396" s="23"/>
      <c r="DH396" s="232"/>
      <c r="DI396" s="234"/>
      <c r="DJ396" s="234"/>
      <c r="DK396" s="235"/>
      <c r="DL396" s="236"/>
      <c r="DM396" s="236"/>
      <c r="DN396" s="236"/>
      <c r="EF396" s="19"/>
      <c r="EG396" s="18"/>
      <c r="EH396" s="18"/>
      <c r="EI396" s="18"/>
      <c r="EY396" s="18"/>
      <c r="EZ396" s="20"/>
      <c r="FA396" s="18"/>
    </row>
    <row r="397" spans="46:157" x14ac:dyDescent="0.3">
      <c r="AT397" s="44" t="str">
        <f t="shared" si="120"/>
        <v>14_16T.LL.W</v>
      </c>
      <c r="AU397" s="18" t="s">
        <v>69</v>
      </c>
      <c r="AV397" s="18" t="s">
        <v>970</v>
      </c>
      <c r="AW397" s="20" t="s">
        <v>113</v>
      </c>
      <c r="AX397" s="228">
        <v>1220115</v>
      </c>
      <c r="AY397" s="229">
        <v>0</v>
      </c>
      <c r="BA397" s="91"/>
      <c r="CK397" s="160"/>
      <c r="CL397" s="18"/>
      <c r="CM397" s="18"/>
      <c r="CN397" s="18"/>
      <c r="CO397" s="23"/>
      <c r="CP397" s="226"/>
      <c r="CQ397" s="23"/>
      <c r="CR397" s="161"/>
      <c r="CS397" s="23"/>
      <c r="CT397" s="23"/>
      <c r="DH397" s="232"/>
      <c r="DI397" s="234"/>
      <c r="DJ397" s="234"/>
      <c r="DK397" s="235"/>
      <c r="DL397" s="236"/>
      <c r="DM397" s="236"/>
      <c r="DN397" s="236"/>
      <c r="EF397" s="19"/>
      <c r="EG397" s="18"/>
      <c r="EH397" s="18"/>
      <c r="EI397" s="20"/>
      <c r="EY397" s="18"/>
      <c r="EZ397" s="20"/>
      <c r="FA397" s="18"/>
    </row>
    <row r="398" spans="46:157" x14ac:dyDescent="0.3">
      <c r="AT398" s="44" t="str">
        <f t="shared" si="120"/>
        <v>14_18B.LL.W</v>
      </c>
      <c r="AU398" s="18" t="s">
        <v>69</v>
      </c>
      <c r="AV398" s="18" t="s">
        <v>160</v>
      </c>
      <c r="AW398" s="20" t="s">
        <v>113</v>
      </c>
      <c r="AX398" s="228">
        <v>1220115</v>
      </c>
      <c r="AY398" s="229">
        <v>0</v>
      </c>
      <c r="BA398" s="91"/>
      <c r="CK398" s="160"/>
      <c r="CL398" s="18"/>
      <c r="CM398" s="18"/>
      <c r="CN398" s="18"/>
      <c r="CO398" s="23"/>
      <c r="CP398" s="226"/>
      <c r="CQ398" s="23"/>
      <c r="CR398" s="161"/>
      <c r="CS398" s="23"/>
      <c r="CT398" s="23"/>
      <c r="DH398" s="232"/>
      <c r="DI398" s="234"/>
      <c r="DJ398" s="234"/>
      <c r="DK398" s="235"/>
      <c r="DL398" s="236"/>
      <c r="DM398" s="236"/>
      <c r="DN398" s="236"/>
      <c r="EF398" s="19"/>
      <c r="EG398" s="18"/>
      <c r="EH398" s="18"/>
      <c r="EI398" s="20"/>
      <c r="EY398" s="18"/>
      <c r="EZ398" s="20"/>
      <c r="FA398" s="18"/>
    </row>
    <row r="399" spans="46:157" x14ac:dyDescent="0.3">
      <c r="AT399" s="44" t="str">
        <f t="shared" si="120"/>
        <v>14_20B.LL.W</v>
      </c>
      <c r="AU399" s="18" t="s">
        <v>69</v>
      </c>
      <c r="AV399" s="18" t="s">
        <v>253</v>
      </c>
      <c r="AW399" s="20" t="s">
        <v>113</v>
      </c>
      <c r="AX399" s="228">
        <v>1220115</v>
      </c>
      <c r="AY399" s="229">
        <v>0</v>
      </c>
      <c r="BA399" s="91"/>
      <c r="CK399" s="160"/>
      <c r="CL399" s="18"/>
      <c r="CM399" s="18"/>
      <c r="CN399" s="18"/>
      <c r="CO399" s="23"/>
      <c r="CP399" s="226"/>
      <c r="CQ399" s="23"/>
      <c r="CR399" s="161"/>
      <c r="CS399" s="23"/>
      <c r="CT399" s="23"/>
      <c r="DH399" s="232"/>
      <c r="DI399" s="234"/>
      <c r="DJ399" s="234"/>
      <c r="DK399" s="235"/>
      <c r="DL399" s="236"/>
      <c r="DM399" s="236"/>
      <c r="DN399" s="236"/>
      <c r="EF399" s="21"/>
      <c r="EG399" s="18"/>
      <c r="EH399" s="18"/>
      <c r="EI399" s="18"/>
      <c r="EY399" s="18"/>
      <c r="EZ399" s="20"/>
      <c r="FA399" s="18"/>
    </row>
    <row r="400" spans="46:157" x14ac:dyDescent="0.3">
      <c r="AT400" s="44" t="str">
        <f t="shared" si="120"/>
        <v>14_22B.LL.W</v>
      </c>
      <c r="AU400" s="18" t="s">
        <v>69</v>
      </c>
      <c r="AV400" s="18" t="s">
        <v>346</v>
      </c>
      <c r="AW400" s="20" t="s">
        <v>113</v>
      </c>
      <c r="AX400" s="228">
        <v>1220115</v>
      </c>
      <c r="AY400" s="229">
        <v>0</v>
      </c>
      <c r="BA400" s="91"/>
      <c r="CK400" s="160"/>
      <c r="CL400" s="18"/>
      <c r="CM400" s="18"/>
      <c r="CN400" s="18"/>
      <c r="CO400" s="23"/>
      <c r="CP400" s="226"/>
      <c r="CQ400" s="23"/>
      <c r="CR400" s="161"/>
      <c r="CS400" s="23"/>
      <c r="CT400" s="23"/>
      <c r="DH400" s="232"/>
      <c r="DI400" s="234"/>
      <c r="DJ400" s="234"/>
      <c r="DK400" s="235"/>
      <c r="DL400" s="236"/>
      <c r="DM400" s="236"/>
      <c r="DN400" s="236"/>
      <c r="EF400" s="19"/>
      <c r="EG400" s="18"/>
      <c r="EH400" s="18"/>
      <c r="EI400" s="18"/>
      <c r="EY400" s="18"/>
      <c r="EZ400" s="20"/>
      <c r="FA400" s="18"/>
    </row>
    <row r="401" spans="46:157" x14ac:dyDescent="0.3">
      <c r="AT401" s="44" t="str">
        <f t="shared" si="120"/>
        <v>14_24B.LL.W</v>
      </c>
      <c r="AU401" s="18" t="s">
        <v>69</v>
      </c>
      <c r="AV401" s="18" t="s">
        <v>428</v>
      </c>
      <c r="AW401" s="20" t="s">
        <v>113</v>
      </c>
      <c r="AX401" s="228">
        <v>1220115</v>
      </c>
      <c r="AY401" s="229">
        <v>0</v>
      </c>
      <c r="BA401" s="91"/>
      <c r="CK401" s="160"/>
      <c r="CL401" s="18"/>
      <c r="CM401" s="18"/>
      <c r="CN401" s="18"/>
      <c r="CO401" s="23"/>
      <c r="CP401" s="226"/>
      <c r="CQ401" s="23"/>
      <c r="CR401" s="161"/>
      <c r="CS401" s="23"/>
      <c r="CT401" s="23"/>
      <c r="DH401" s="232"/>
      <c r="DI401" s="234"/>
      <c r="DJ401" s="234"/>
      <c r="DK401" s="235"/>
      <c r="DL401" s="236"/>
      <c r="DM401" s="236"/>
      <c r="DN401" s="236"/>
      <c r="EF401" s="19"/>
      <c r="EG401" s="18"/>
      <c r="EH401" s="18"/>
      <c r="EI401" s="18"/>
      <c r="EY401" s="18"/>
      <c r="EZ401" s="20"/>
      <c r="FA401" s="18"/>
    </row>
    <row r="402" spans="46:157" x14ac:dyDescent="0.3">
      <c r="AT402" s="44" t="str">
        <f t="shared" si="120"/>
        <v>14_26B.LL.W</v>
      </c>
      <c r="AU402" s="18" t="s">
        <v>69</v>
      </c>
      <c r="AV402" s="18" t="s">
        <v>512</v>
      </c>
      <c r="AW402" s="20" t="s">
        <v>113</v>
      </c>
      <c r="AX402" s="228">
        <v>1220115</v>
      </c>
      <c r="AY402" s="229">
        <v>0</v>
      </c>
      <c r="BA402" s="91"/>
      <c r="CK402" s="160"/>
      <c r="CL402" s="18"/>
      <c r="CM402" s="18"/>
      <c r="CN402" s="18"/>
      <c r="CO402" s="23"/>
      <c r="CP402" s="226"/>
      <c r="CQ402" s="23"/>
      <c r="CR402" s="161"/>
      <c r="CS402" s="23"/>
      <c r="CT402" s="23"/>
      <c r="DH402" s="232"/>
      <c r="DI402" s="234"/>
      <c r="DJ402" s="234"/>
      <c r="DK402" s="235"/>
      <c r="DL402" s="236"/>
      <c r="DM402" s="236"/>
      <c r="DN402" s="236"/>
      <c r="EF402" s="21"/>
      <c r="EG402" s="18"/>
      <c r="EH402" s="18"/>
      <c r="EI402" s="18"/>
      <c r="EY402" s="18"/>
      <c r="EZ402" s="20"/>
      <c r="FA402" s="18"/>
    </row>
    <row r="403" spans="46:157" x14ac:dyDescent="0.3">
      <c r="AT403" s="44" t="str">
        <f t="shared" ref="AT403:AT466" si="121">CONCATENATE(AV403,".",AU403,".",AW403)</f>
        <v>15_16F.LL.W</v>
      </c>
      <c r="AU403" s="18" t="s">
        <v>69</v>
      </c>
      <c r="AV403" s="18" t="s">
        <v>698</v>
      </c>
      <c r="AW403" s="20" t="s">
        <v>113</v>
      </c>
      <c r="AX403" s="228">
        <v>1220115</v>
      </c>
      <c r="AY403" s="229">
        <v>0</v>
      </c>
      <c r="BA403" s="91"/>
      <c r="CK403" s="160"/>
      <c r="CL403" s="18"/>
      <c r="CM403" s="18"/>
      <c r="CN403" s="18"/>
      <c r="CO403" s="23"/>
      <c r="CP403" s="226"/>
      <c r="CQ403" s="23"/>
      <c r="CR403" s="161"/>
      <c r="CS403" s="23"/>
      <c r="CT403" s="23"/>
      <c r="DH403" s="232"/>
      <c r="DI403" s="234"/>
      <c r="DJ403" s="234"/>
      <c r="DK403" s="235"/>
      <c r="DL403" s="236"/>
      <c r="DM403" s="236"/>
      <c r="DN403" s="236"/>
      <c r="EF403" s="21"/>
      <c r="EG403" s="18"/>
      <c r="EH403" s="18"/>
      <c r="EI403" s="18"/>
      <c r="EY403" s="18"/>
      <c r="EZ403" s="20"/>
      <c r="FA403" s="18"/>
    </row>
    <row r="404" spans="46:157" x14ac:dyDescent="0.3">
      <c r="AT404" s="44" t="str">
        <f t="shared" si="121"/>
        <v>15_16T.LL.W</v>
      </c>
      <c r="AU404" s="18" t="s">
        <v>69</v>
      </c>
      <c r="AV404" s="18" t="s">
        <v>977</v>
      </c>
      <c r="AW404" s="20" t="s">
        <v>113</v>
      </c>
      <c r="AX404" s="228">
        <v>1220115</v>
      </c>
      <c r="AY404" s="229">
        <v>0</v>
      </c>
      <c r="BA404" s="91"/>
      <c r="CK404" s="160"/>
      <c r="CL404" s="18"/>
      <c r="CM404" s="18"/>
      <c r="CN404" s="18"/>
      <c r="CO404" s="23"/>
      <c r="CP404" s="226"/>
      <c r="CQ404" s="23"/>
      <c r="CR404" s="161"/>
      <c r="CS404" s="23"/>
      <c r="CT404" s="23"/>
      <c r="DH404" s="232"/>
      <c r="DI404" s="234"/>
      <c r="DJ404" s="234"/>
      <c r="DK404" s="235"/>
      <c r="DL404" s="236"/>
      <c r="DM404" s="236"/>
      <c r="DN404" s="236"/>
      <c r="EF404" s="19"/>
      <c r="EG404" s="18"/>
      <c r="EH404" s="18"/>
      <c r="EI404" s="18"/>
      <c r="EY404" s="18"/>
      <c r="EZ404" s="20"/>
      <c r="FA404" s="18"/>
    </row>
    <row r="405" spans="46:157" x14ac:dyDescent="0.3">
      <c r="AT405" s="44" t="str">
        <f t="shared" si="121"/>
        <v>16_16F.LL.W</v>
      </c>
      <c r="AU405" s="18" t="s">
        <v>69</v>
      </c>
      <c r="AV405" s="18" t="s">
        <v>714</v>
      </c>
      <c r="AW405" s="20" t="s">
        <v>113</v>
      </c>
      <c r="AX405" s="228">
        <v>1220115</v>
      </c>
      <c r="AY405" s="229">
        <v>0</v>
      </c>
      <c r="BA405" s="91"/>
      <c r="CK405" s="160"/>
      <c r="CL405" s="18"/>
      <c r="CM405" s="18"/>
      <c r="CN405" s="18"/>
      <c r="CO405" s="23"/>
      <c r="CP405" s="226"/>
      <c r="CQ405" s="23"/>
      <c r="CR405" s="161"/>
      <c r="CS405" s="23"/>
      <c r="CT405" s="23"/>
      <c r="DH405" s="232"/>
      <c r="DI405" s="234"/>
      <c r="DJ405" s="234"/>
      <c r="DK405" s="235"/>
      <c r="DL405" s="236"/>
      <c r="DM405" s="236"/>
      <c r="DN405" s="236"/>
      <c r="EF405" s="19"/>
      <c r="EG405" s="18"/>
      <c r="EH405" s="18"/>
      <c r="EI405" s="18"/>
      <c r="EY405" s="18"/>
      <c r="EZ405" s="20"/>
      <c r="FA405" s="18"/>
    </row>
    <row r="406" spans="46:157" x14ac:dyDescent="0.3">
      <c r="AT406" s="44" t="str">
        <f t="shared" si="121"/>
        <v>16_16T.LL.W</v>
      </c>
      <c r="AU406" s="18" t="s">
        <v>69</v>
      </c>
      <c r="AV406" s="18" t="s">
        <v>985</v>
      </c>
      <c r="AW406" s="20" t="s">
        <v>113</v>
      </c>
      <c r="AX406" s="228">
        <v>1220115</v>
      </c>
      <c r="AY406" s="229">
        <v>0</v>
      </c>
      <c r="BA406" s="91"/>
      <c r="CK406" s="160"/>
      <c r="CL406" s="18"/>
      <c r="CM406" s="18"/>
      <c r="CN406" s="18"/>
      <c r="CO406" s="23"/>
      <c r="CP406" s="226"/>
      <c r="CQ406" s="23"/>
      <c r="CR406" s="161"/>
      <c r="CS406" s="23"/>
      <c r="CT406" s="23"/>
      <c r="DH406" s="232"/>
      <c r="DI406" s="234"/>
      <c r="DJ406" s="234"/>
      <c r="DK406" s="235"/>
      <c r="DL406" s="236"/>
      <c r="DM406" s="236"/>
      <c r="DN406" s="236"/>
      <c r="EF406" s="19"/>
      <c r="EG406" s="18"/>
      <c r="EH406" s="18"/>
      <c r="EI406" s="18"/>
      <c r="EY406" s="18"/>
      <c r="EZ406" s="20"/>
      <c r="FA406" s="18"/>
    </row>
    <row r="407" spans="46:157" x14ac:dyDescent="0.3">
      <c r="AT407" s="44" t="str">
        <f t="shared" si="121"/>
        <v>16_18B.LL.W</v>
      </c>
      <c r="AU407" s="18" t="s">
        <v>69</v>
      </c>
      <c r="AV407" s="18" t="s">
        <v>186</v>
      </c>
      <c r="AW407" s="20" t="s">
        <v>113</v>
      </c>
      <c r="AX407" s="228">
        <v>1220115</v>
      </c>
      <c r="AY407" s="229">
        <v>0</v>
      </c>
      <c r="BA407" s="91"/>
      <c r="CK407" s="160"/>
      <c r="CL407" s="18"/>
      <c r="CM407" s="18"/>
      <c r="CN407" s="18"/>
      <c r="CO407" s="23"/>
      <c r="CP407" s="226"/>
      <c r="CQ407" s="23"/>
      <c r="CR407" s="161"/>
      <c r="CS407" s="23"/>
      <c r="CT407" s="23"/>
      <c r="DH407" s="232"/>
      <c r="DI407" s="234"/>
      <c r="DJ407" s="234"/>
      <c r="DK407" s="235"/>
      <c r="DL407" s="236"/>
      <c r="DM407" s="236"/>
      <c r="DN407" s="236"/>
      <c r="EF407" s="19"/>
      <c r="EG407" s="18"/>
      <c r="EH407" s="18"/>
      <c r="EI407" s="18"/>
      <c r="EY407" s="18"/>
      <c r="EZ407" s="20"/>
      <c r="FA407" s="18"/>
    </row>
    <row r="408" spans="46:157" x14ac:dyDescent="0.3">
      <c r="AT408" s="44" t="str">
        <f t="shared" si="121"/>
        <v>16_18F.LL.W</v>
      </c>
      <c r="AU408" s="18" t="s">
        <v>69</v>
      </c>
      <c r="AV408" s="18" t="s">
        <v>726</v>
      </c>
      <c r="AW408" s="20" t="s">
        <v>113</v>
      </c>
      <c r="AX408" s="228">
        <v>1220115</v>
      </c>
      <c r="AY408" s="229">
        <v>0</v>
      </c>
      <c r="BA408" s="91"/>
      <c r="CK408" s="160"/>
      <c r="CL408" s="18"/>
      <c r="CM408" s="18"/>
      <c r="CN408" s="18"/>
      <c r="CO408" s="23"/>
      <c r="CP408" s="226"/>
      <c r="CQ408" s="23"/>
      <c r="CR408" s="161"/>
      <c r="CS408" s="23"/>
      <c r="CT408" s="23"/>
      <c r="DH408" s="232"/>
      <c r="DI408" s="234"/>
      <c r="DJ408" s="234"/>
      <c r="DK408" s="235"/>
      <c r="DL408" s="236"/>
      <c r="DM408" s="236"/>
      <c r="DN408" s="236"/>
      <c r="EF408" s="19"/>
      <c r="EG408" s="18"/>
      <c r="EH408" s="18"/>
      <c r="EI408" s="18"/>
      <c r="EY408" s="18"/>
      <c r="EZ408" s="20"/>
      <c r="FA408" s="18"/>
    </row>
    <row r="409" spans="46:157" x14ac:dyDescent="0.3">
      <c r="AT409" s="44" t="str">
        <f t="shared" si="121"/>
        <v>16_20B.LL.W</v>
      </c>
      <c r="AU409" s="18" t="s">
        <v>69</v>
      </c>
      <c r="AV409" s="18" t="s">
        <v>293</v>
      </c>
      <c r="AW409" s="20" t="s">
        <v>113</v>
      </c>
      <c r="AX409" s="228">
        <v>1220115</v>
      </c>
      <c r="AY409" s="229">
        <v>0</v>
      </c>
      <c r="BA409" s="91"/>
      <c r="CK409" s="160"/>
      <c r="CL409" s="18"/>
      <c r="CM409" s="18"/>
      <c r="CN409" s="18"/>
      <c r="CO409" s="23"/>
      <c r="CP409" s="226"/>
      <c r="CQ409" s="23"/>
      <c r="CR409" s="161"/>
      <c r="CS409" s="23"/>
      <c r="CT409" s="23"/>
      <c r="DH409" s="232"/>
      <c r="DI409" s="234"/>
      <c r="DJ409" s="234"/>
      <c r="DK409" s="235"/>
      <c r="DL409" s="236"/>
      <c r="DM409" s="236"/>
      <c r="DN409" s="236"/>
      <c r="EF409" s="19"/>
      <c r="EG409" s="18"/>
      <c r="EH409" s="18"/>
      <c r="EI409" s="18"/>
      <c r="EY409" s="18"/>
      <c r="EZ409" s="20"/>
      <c r="FA409" s="18"/>
    </row>
    <row r="410" spans="46:157" x14ac:dyDescent="0.3">
      <c r="AT410" s="44" t="str">
        <f t="shared" si="121"/>
        <v>16_22B.LL.W</v>
      </c>
      <c r="AU410" s="18" t="s">
        <v>69</v>
      </c>
      <c r="AV410" s="18" t="s">
        <v>365</v>
      </c>
      <c r="AW410" s="20" t="s">
        <v>113</v>
      </c>
      <c r="AX410" s="228">
        <v>1220115</v>
      </c>
      <c r="AY410" s="229">
        <v>0</v>
      </c>
      <c r="BA410" s="91"/>
      <c r="CK410" s="160"/>
      <c r="CL410" s="18"/>
      <c r="CM410" s="18"/>
      <c r="CN410" s="18"/>
      <c r="CO410" s="23"/>
      <c r="CP410" s="226"/>
      <c r="CQ410" s="23"/>
      <c r="CR410" s="161"/>
      <c r="CS410" s="23"/>
      <c r="CT410" s="23"/>
      <c r="DH410" s="232"/>
      <c r="DI410" s="234"/>
      <c r="DJ410" s="234"/>
      <c r="DK410" s="235"/>
      <c r="DL410" s="236"/>
      <c r="DM410" s="236"/>
      <c r="DN410" s="236"/>
      <c r="EF410" s="19"/>
      <c r="EG410" s="18"/>
      <c r="EH410" s="18"/>
      <c r="EI410" s="18"/>
      <c r="EY410" s="18"/>
      <c r="EZ410" s="20"/>
      <c r="FA410" s="18"/>
    </row>
    <row r="411" spans="46:157" x14ac:dyDescent="0.3">
      <c r="AT411" s="44" t="str">
        <f t="shared" si="121"/>
        <v>16_24B.LL.W</v>
      </c>
      <c r="AU411" s="18" t="s">
        <v>69</v>
      </c>
      <c r="AV411" s="18" t="s">
        <v>444</v>
      </c>
      <c r="AW411" s="20" t="s">
        <v>113</v>
      </c>
      <c r="AX411" s="228">
        <v>1220115</v>
      </c>
      <c r="AY411" s="229">
        <v>0</v>
      </c>
      <c r="BA411" s="91"/>
      <c r="CK411" s="160"/>
      <c r="CL411" s="18"/>
      <c r="CM411" s="18"/>
      <c r="CN411" s="18"/>
      <c r="CO411" s="23"/>
      <c r="CP411" s="226"/>
      <c r="CQ411" s="23"/>
      <c r="CR411" s="161"/>
      <c r="CS411" s="23"/>
      <c r="CT411" s="23"/>
      <c r="DH411" s="232"/>
      <c r="DI411" s="234"/>
      <c r="DJ411" s="234"/>
      <c r="DK411" s="235"/>
      <c r="DL411" s="236"/>
      <c r="DM411" s="236"/>
      <c r="DN411" s="236"/>
      <c r="EF411" s="19"/>
      <c r="EG411" s="18"/>
      <c r="EH411" s="18"/>
      <c r="EI411" s="18"/>
      <c r="EY411" s="18"/>
      <c r="EZ411" s="20"/>
      <c r="FA411" s="18"/>
    </row>
    <row r="412" spans="46:157" x14ac:dyDescent="0.3">
      <c r="AT412" s="44" t="str">
        <f t="shared" si="121"/>
        <v>16_26B.LL.W</v>
      </c>
      <c r="AU412" s="18" t="s">
        <v>69</v>
      </c>
      <c r="AV412" s="18" t="s">
        <v>532</v>
      </c>
      <c r="AW412" s="20" t="s">
        <v>113</v>
      </c>
      <c r="AX412" s="228">
        <v>1220115</v>
      </c>
      <c r="AY412" s="229">
        <v>0</v>
      </c>
      <c r="BA412" s="91"/>
      <c r="CK412" s="160"/>
      <c r="CL412" s="18"/>
      <c r="CM412" s="18"/>
      <c r="CN412" s="18"/>
      <c r="CO412" s="23"/>
      <c r="CP412" s="226"/>
      <c r="CQ412" s="23"/>
      <c r="CR412" s="161"/>
      <c r="CS412" s="23"/>
      <c r="CT412" s="23"/>
      <c r="DH412" s="232"/>
      <c r="DI412" s="234"/>
      <c r="DJ412" s="234"/>
      <c r="DK412" s="235"/>
      <c r="DL412" s="236"/>
      <c r="DM412" s="236"/>
      <c r="DN412" s="236"/>
      <c r="EF412" s="19"/>
      <c r="EG412" s="18"/>
      <c r="EH412" s="18"/>
      <c r="EI412" s="18"/>
      <c r="EY412" s="18"/>
      <c r="EZ412" s="20"/>
      <c r="FA412" s="18"/>
    </row>
    <row r="413" spans="46:157" x14ac:dyDescent="0.3">
      <c r="AT413" s="44" t="str">
        <f t="shared" si="121"/>
        <v>18_20B.LL.W</v>
      </c>
      <c r="AU413" s="18" t="s">
        <v>69</v>
      </c>
      <c r="AV413" s="18" t="s">
        <v>312</v>
      </c>
      <c r="AW413" s="20" t="s">
        <v>113</v>
      </c>
      <c r="AX413" s="228">
        <v>1220115</v>
      </c>
      <c r="AY413" s="229">
        <v>0</v>
      </c>
      <c r="BA413" s="91"/>
      <c r="CK413" s="160"/>
      <c r="CL413" s="18"/>
      <c r="CM413" s="18"/>
      <c r="CN413" s="18"/>
      <c r="CO413" s="23"/>
      <c r="CP413" s="226"/>
      <c r="CQ413" s="23"/>
      <c r="CR413" s="161"/>
      <c r="CS413" s="23"/>
      <c r="CT413" s="23"/>
      <c r="DH413" s="232"/>
      <c r="DI413" s="234"/>
      <c r="DJ413" s="234"/>
      <c r="DK413" s="235"/>
      <c r="DL413" s="236"/>
      <c r="DM413" s="236"/>
      <c r="DN413" s="236"/>
      <c r="EF413" s="19"/>
      <c r="EG413" s="18"/>
      <c r="EH413" s="18"/>
      <c r="EI413" s="18"/>
      <c r="EY413" s="18"/>
      <c r="EZ413" s="20"/>
      <c r="FA413" s="18"/>
    </row>
    <row r="414" spans="46:157" x14ac:dyDescent="0.3">
      <c r="AT414" s="44" t="str">
        <f t="shared" si="121"/>
        <v>18_22B.LL.W</v>
      </c>
      <c r="AU414" s="18" t="s">
        <v>69</v>
      </c>
      <c r="AV414" s="18" t="s">
        <v>382</v>
      </c>
      <c r="AW414" s="20" t="s">
        <v>113</v>
      </c>
      <c r="AX414" s="228">
        <v>1220115</v>
      </c>
      <c r="AY414" s="229">
        <v>0</v>
      </c>
      <c r="BA414" s="91"/>
      <c r="CK414" s="160"/>
      <c r="CL414" s="18"/>
      <c r="CM414" s="18"/>
      <c r="CN414" s="18"/>
      <c r="CO414" s="23"/>
      <c r="CP414" s="226"/>
      <c r="CQ414" s="23"/>
      <c r="CR414" s="161"/>
      <c r="CS414" s="23"/>
      <c r="CT414" s="23"/>
      <c r="DH414" s="232"/>
      <c r="DI414" s="234"/>
      <c r="DJ414" s="234"/>
      <c r="DK414" s="235"/>
      <c r="DL414" s="236"/>
      <c r="DM414" s="236"/>
      <c r="DN414" s="236"/>
      <c r="EF414" s="19"/>
      <c r="EG414" s="18"/>
      <c r="EH414" s="18"/>
      <c r="EI414" s="18"/>
      <c r="EY414" s="18"/>
      <c r="EZ414" s="20"/>
      <c r="FA414" s="18"/>
    </row>
    <row r="415" spans="46:157" x14ac:dyDescent="0.3">
      <c r="AT415" s="44" t="str">
        <f t="shared" si="121"/>
        <v>18_24B.LL.W</v>
      </c>
      <c r="AU415" s="18" t="s">
        <v>69</v>
      </c>
      <c r="AV415" s="18" t="s">
        <v>461</v>
      </c>
      <c r="AW415" s="20" t="s">
        <v>113</v>
      </c>
      <c r="AX415" s="228">
        <v>1220115</v>
      </c>
      <c r="AY415" s="229">
        <v>0</v>
      </c>
      <c r="BA415" s="91"/>
      <c r="CK415" s="160"/>
      <c r="CL415" s="18"/>
      <c r="CM415" s="18"/>
      <c r="CN415" s="18"/>
      <c r="CO415" s="23"/>
      <c r="CP415" s="226"/>
      <c r="CQ415" s="23"/>
      <c r="CR415" s="161"/>
      <c r="CS415" s="23"/>
      <c r="CT415" s="23"/>
      <c r="DH415" s="232"/>
      <c r="DI415" s="234"/>
      <c r="DJ415" s="234"/>
      <c r="DK415" s="235"/>
      <c r="DL415" s="236"/>
      <c r="DM415" s="236"/>
      <c r="DN415" s="236"/>
      <c r="EF415" s="19"/>
      <c r="EG415" s="18"/>
      <c r="EH415" s="18"/>
      <c r="EI415" s="18"/>
      <c r="EY415" s="18"/>
      <c r="EZ415" s="20"/>
      <c r="FA415" s="18"/>
    </row>
    <row r="416" spans="46:157" x14ac:dyDescent="0.3">
      <c r="AT416" s="44" t="str">
        <f t="shared" si="121"/>
        <v>20_20B.LL.W</v>
      </c>
      <c r="AU416" s="18" t="s">
        <v>69</v>
      </c>
      <c r="AV416" s="18" t="s">
        <v>331</v>
      </c>
      <c r="AW416" s="20" t="s">
        <v>113</v>
      </c>
      <c r="AX416" s="228">
        <v>1220115</v>
      </c>
      <c r="AY416" s="229">
        <v>0</v>
      </c>
      <c r="BA416" s="91"/>
      <c r="CK416" s="160"/>
      <c r="CL416" s="18"/>
      <c r="CM416" s="18"/>
      <c r="CN416" s="18"/>
      <c r="CO416" s="23"/>
      <c r="CP416" s="226"/>
      <c r="CQ416" s="23"/>
      <c r="CR416" s="161"/>
      <c r="CS416" s="23"/>
      <c r="CT416" s="23"/>
      <c r="DH416" s="232"/>
      <c r="DI416" s="234"/>
      <c r="DJ416" s="234"/>
      <c r="DK416" s="235"/>
      <c r="DL416" s="236"/>
      <c r="DM416" s="236"/>
      <c r="DN416" s="236"/>
      <c r="EF416" s="19"/>
      <c r="EG416" s="18"/>
      <c r="EH416" s="18"/>
      <c r="EI416" s="18"/>
      <c r="EY416" s="18"/>
      <c r="EZ416" s="20"/>
      <c r="FA416" s="18"/>
    </row>
    <row r="417" spans="46:157" x14ac:dyDescent="0.3">
      <c r="AT417" s="44" t="str">
        <f t="shared" si="121"/>
        <v>20_22B.LL.W</v>
      </c>
      <c r="AU417" s="18" t="s">
        <v>69</v>
      </c>
      <c r="AV417" s="18" t="s">
        <v>400</v>
      </c>
      <c r="AW417" s="20" t="s">
        <v>113</v>
      </c>
      <c r="AX417" s="228">
        <v>1220115</v>
      </c>
      <c r="AY417" s="229">
        <v>0</v>
      </c>
      <c r="BA417" s="91"/>
      <c r="CK417" s="160"/>
      <c r="CL417" s="18"/>
      <c r="CM417" s="18"/>
      <c r="CN417" s="18"/>
      <c r="CO417" s="23"/>
      <c r="CP417" s="226"/>
      <c r="CQ417" s="23"/>
      <c r="CR417" s="161"/>
      <c r="CS417" s="23"/>
      <c r="CT417" s="23"/>
      <c r="DH417" s="232"/>
      <c r="DI417" s="234"/>
      <c r="DJ417" s="234"/>
      <c r="DK417" s="235"/>
      <c r="DL417" s="236"/>
      <c r="DM417" s="236"/>
      <c r="DN417" s="236"/>
      <c r="EF417" s="19"/>
      <c r="EG417" s="18"/>
      <c r="EH417" s="18"/>
      <c r="EI417" s="19"/>
      <c r="EY417" s="18"/>
      <c r="EZ417" s="20"/>
      <c r="FA417" s="18"/>
    </row>
    <row r="418" spans="46:157" x14ac:dyDescent="0.3">
      <c r="AT418" s="44" t="str">
        <f t="shared" si="121"/>
        <v>20_24B.LL.W</v>
      </c>
      <c r="AU418" s="18" t="s">
        <v>69</v>
      </c>
      <c r="AV418" s="18" t="s">
        <v>479</v>
      </c>
      <c r="AW418" s="20" t="s">
        <v>113</v>
      </c>
      <c r="AX418" s="228">
        <v>1220115</v>
      </c>
      <c r="AY418" s="229">
        <v>0</v>
      </c>
      <c r="BA418" s="91"/>
      <c r="CK418" s="160"/>
      <c r="CL418" s="18"/>
      <c r="CM418" s="18"/>
      <c r="CN418" s="18"/>
      <c r="CO418" s="23"/>
      <c r="CP418" s="226"/>
      <c r="CQ418" s="23"/>
      <c r="CR418" s="161"/>
      <c r="CS418" s="23"/>
      <c r="CT418" s="23"/>
      <c r="DH418" s="232"/>
      <c r="DI418" s="234"/>
      <c r="DJ418" s="234"/>
      <c r="DK418" s="235"/>
      <c r="DL418" s="236"/>
      <c r="DM418" s="236"/>
      <c r="DN418" s="236"/>
      <c r="EF418" s="19"/>
      <c r="EG418" s="18"/>
      <c r="EH418" s="18"/>
      <c r="EI418" s="18"/>
      <c r="EY418" s="18"/>
      <c r="EZ418" s="20"/>
      <c r="FA418" s="18"/>
    </row>
    <row r="419" spans="46:157" x14ac:dyDescent="0.3">
      <c r="AT419" s="44" t="str">
        <f t="shared" si="121"/>
        <v>4_14S.LL.W</v>
      </c>
      <c r="AU419" s="18" t="s">
        <v>69</v>
      </c>
      <c r="AV419" s="18" t="s">
        <v>1017</v>
      </c>
      <c r="AW419" s="20" t="s">
        <v>113</v>
      </c>
      <c r="AX419" s="228">
        <v>1220115</v>
      </c>
      <c r="AY419" s="229">
        <v>0</v>
      </c>
      <c r="BA419" s="91"/>
      <c r="CK419" s="160"/>
      <c r="CL419" s="18"/>
      <c r="CM419" s="18"/>
      <c r="CN419" s="18"/>
      <c r="CO419" s="23"/>
      <c r="CP419" s="226"/>
      <c r="CQ419" s="23"/>
      <c r="CR419" s="161"/>
      <c r="CS419" s="23"/>
      <c r="CT419" s="23"/>
      <c r="DH419" s="232"/>
      <c r="DI419" s="234"/>
      <c r="DJ419" s="234"/>
      <c r="DK419" s="235"/>
      <c r="DL419" s="236"/>
      <c r="DM419" s="236"/>
      <c r="DN419" s="236"/>
      <c r="EF419" s="19"/>
      <c r="EG419" s="18"/>
      <c r="EH419" s="18"/>
      <c r="EI419" s="18"/>
      <c r="EY419" s="18"/>
      <c r="EZ419" s="20"/>
      <c r="FA419" s="18"/>
    </row>
    <row r="420" spans="46:157" x14ac:dyDescent="0.3">
      <c r="AT420" s="44" t="str">
        <f t="shared" si="121"/>
        <v>4_14x8S.LL.W</v>
      </c>
      <c r="AU420" s="18" t="s">
        <v>69</v>
      </c>
      <c r="AV420" s="18" t="s">
        <v>1049</v>
      </c>
      <c r="AW420" s="20" t="s">
        <v>113</v>
      </c>
      <c r="AX420" s="228">
        <v>1220115</v>
      </c>
      <c r="AY420" s="229">
        <v>0</v>
      </c>
      <c r="BA420" s="91"/>
      <c r="CK420" s="160"/>
      <c r="CL420" s="18"/>
      <c r="CM420" s="18"/>
      <c r="CN420" s="18"/>
      <c r="CO420" s="23"/>
      <c r="CP420" s="226"/>
      <c r="CQ420" s="23"/>
      <c r="CR420" s="161"/>
      <c r="CS420" s="23"/>
      <c r="CT420" s="23"/>
      <c r="DH420" s="232"/>
      <c r="DI420" s="234"/>
      <c r="DJ420" s="234"/>
      <c r="DK420" s="235"/>
      <c r="DL420" s="236"/>
      <c r="DM420" s="236"/>
      <c r="DN420" s="236"/>
      <c r="EF420" s="19"/>
      <c r="EG420" s="18"/>
      <c r="EH420" s="18"/>
      <c r="EI420" s="18"/>
      <c r="EY420" s="18"/>
      <c r="EZ420" s="20"/>
      <c r="FA420" s="18"/>
    </row>
    <row r="421" spans="46:157" x14ac:dyDescent="0.3">
      <c r="AT421" s="44" t="str">
        <f t="shared" si="121"/>
        <v>5_14S.LL.W</v>
      </c>
      <c r="AU421" s="18" t="s">
        <v>69</v>
      </c>
      <c r="AV421" s="18" t="s">
        <v>1026</v>
      </c>
      <c r="AW421" s="20" t="s">
        <v>113</v>
      </c>
      <c r="AX421" s="228">
        <v>1220115</v>
      </c>
      <c r="AY421" s="229">
        <v>0</v>
      </c>
      <c r="BA421" s="91"/>
      <c r="CK421" s="160"/>
      <c r="CL421" s="18"/>
      <c r="CM421" s="18"/>
      <c r="CN421" s="18"/>
      <c r="CO421" s="23"/>
      <c r="CP421" s="226"/>
      <c r="CQ421" s="23"/>
      <c r="CR421" s="161"/>
      <c r="CS421" s="23"/>
      <c r="CT421" s="23"/>
      <c r="DH421" s="232"/>
      <c r="DI421" s="234"/>
      <c r="DJ421" s="234"/>
      <c r="DK421" s="235"/>
      <c r="DL421" s="236"/>
      <c r="DM421" s="236"/>
      <c r="DN421" s="236"/>
      <c r="EF421" s="19"/>
      <c r="EG421" s="18"/>
      <c r="EH421" s="18"/>
      <c r="EI421" s="18"/>
      <c r="EY421" s="18"/>
      <c r="EZ421" s="20"/>
      <c r="FA421" s="18"/>
    </row>
    <row r="422" spans="46:157" x14ac:dyDescent="0.3">
      <c r="AT422" s="44" t="str">
        <f t="shared" si="121"/>
        <v>5_14x8S.LL.W</v>
      </c>
      <c r="AU422" s="18" t="s">
        <v>69</v>
      </c>
      <c r="AV422" s="18" t="s">
        <v>1059</v>
      </c>
      <c r="AW422" s="20" t="s">
        <v>113</v>
      </c>
      <c r="AX422" s="228">
        <v>1220115</v>
      </c>
      <c r="AY422" s="229">
        <v>0</v>
      </c>
      <c r="BA422" s="91"/>
      <c r="CK422" s="160"/>
      <c r="CL422" s="18"/>
      <c r="CM422" s="18"/>
      <c r="CN422" s="18"/>
      <c r="CO422" s="23"/>
      <c r="CP422" s="226"/>
      <c r="CQ422" s="23"/>
      <c r="CR422" s="161"/>
      <c r="CS422" s="23"/>
      <c r="CT422" s="23"/>
      <c r="DH422" s="232"/>
      <c r="DI422" s="234"/>
      <c r="DJ422" s="234"/>
      <c r="DK422" s="235"/>
      <c r="DL422" s="236"/>
      <c r="DM422" s="236"/>
      <c r="DN422" s="236"/>
      <c r="EF422" s="19"/>
      <c r="EG422" s="18"/>
      <c r="EH422" s="18"/>
      <c r="EI422" s="19"/>
      <c r="EY422" s="18"/>
      <c r="EZ422" s="20"/>
      <c r="FA422" s="18"/>
    </row>
    <row r="423" spans="46:157" x14ac:dyDescent="0.3">
      <c r="AT423" s="44" t="str">
        <f t="shared" si="121"/>
        <v>5H_14x8S.LL.W</v>
      </c>
      <c r="AU423" s="18" t="s">
        <v>69</v>
      </c>
      <c r="AV423" s="18" t="s">
        <v>1067</v>
      </c>
      <c r="AW423" s="20" t="s">
        <v>113</v>
      </c>
      <c r="AX423" s="228">
        <v>1220115</v>
      </c>
      <c r="AY423" s="229">
        <v>0</v>
      </c>
      <c r="BA423" s="91"/>
      <c r="CK423" s="160"/>
      <c r="CL423" s="18"/>
      <c r="CM423" s="18"/>
      <c r="CN423" s="18"/>
      <c r="CO423" s="23"/>
      <c r="CP423" s="226"/>
      <c r="CQ423" s="23"/>
      <c r="CR423" s="161"/>
      <c r="CS423" s="23"/>
      <c r="CT423" s="23"/>
      <c r="DH423" s="232"/>
      <c r="DI423" s="234"/>
      <c r="DJ423" s="234"/>
      <c r="DK423" s="235"/>
      <c r="DL423" s="236"/>
      <c r="DM423" s="236"/>
      <c r="DN423" s="236"/>
      <c r="EF423" s="19"/>
      <c r="EG423" s="18"/>
      <c r="EH423" s="18"/>
      <c r="EI423" s="18"/>
      <c r="EY423" s="18"/>
      <c r="EZ423" s="20"/>
      <c r="FA423" s="18"/>
    </row>
    <row r="424" spans="46:157" x14ac:dyDescent="0.3">
      <c r="AT424" s="44" t="str">
        <f t="shared" si="121"/>
        <v>6_12S.LL.W</v>
      </c>
      <c r="AU424" s="18" t="s">
        <v>69</v>
      </c>
      <c r="AV424" s="18" t="s">
        <v>995</v>
      </c>
      <c r="AW424" s="20" t="s">
        <v>113</v>
      </c>
      <c r="AX424" s="228">
        <v>1220115</v>
      </c>
      <c r="AY424" s="229">
        <v>0</v>
      </c>
      <c r="BA424" s="91"/>
      <c r="CK424" s="160"/>
      <c r="CL424" s="18"/>
      <c r="CM424" s="18"/>
      <c r="CN424" s="18"/>
      <c r="CO424" s="23"/>
      <c r="CP424" s="226"/>
      <c r="CQ424" s="23"/>
      <c r="CR424" s="161"/>
      <c r="CS424" s="23"/>
      <c r="CT424" s="23"/>
      <c r="DH424" s="232"/>
      <c r="DI424" s="234"/>
      <c r="DJ424" s="234"/>
      <c r="DK424" s="235"/>
      <c r="DL424" s="236"/>
      <c r="DM424" s="236"/>
      <c r="DN424" s="236"/>
      <c r="EF424" s="19"/>
      <c r="EG424" s="18"/>
      <c r="EH424" s="18"/>
      <c r="EI424" s="18"/>
      <c r="EY424" s="18"/>
      <c r="EZ424" s="18"/>
      <c r="FA424" s="18"/>
    </row>
    <row r="425" spans="46:157" x14ac:dyDescent="0.3">
      <c r="AT425" s="44" t="str">
        <f t="shared" si="121"/>
        <v>6_13S.LL.W</v>
      </c>
      <c r="AU425" s="18" t="s">
        <v>69</v>
      </c>
      <c r="AV425" s="18" t="s">
        <v>1012</v>
      </c>
      <c r="AW425" s="20" t="s">
        <v>113</v>
      </c>
      <c r="AX425" s="228">
        <v>1220115</v>
      </c>
      <c r="AY425" s="229">
        <v>0</v>
      </c>
      <c r="BA425" s="91"/>
      <c r="CK425" s="160"/>
      <c r="CL425" s="18"/>
      <c r="CM425" s="18"/>
      <c r="CN425" s="18"/>
      <c r="CO425" s="23"/>
      <c r="CP425" s="226"/>
      <c r="CQ425" s="23"/>
      <c r="CR425" s="161"/>
      <c r="CS425" s="23"/>
      <c r="CT425" s="23"/>
      <c r="DH425" s="232"/>
      <c r="DI425" s="234"/>
      <c r="DJ425" s="234"/>
      <c r="DK425" s="235"/>
      <c r="DL425" s="236"/>
      <c r="DM425" s="236"/>
      <c r="DN425" s="236"/>
      <c r="EF425" s="19"/>
      <c r="EG425" s="18"/>
      <c r="EH425" s="18"/>
      <c r="EI425" s="18"/>
      <c r="EY425" s="18"/>
      <c r="EZ425" s="18"/>
      <c r="FA425" s="18"/>
    </row>
    <row r="426" spans="46:157" x14ac:dyDescent="0.3">
      <c r="AT426" s="44" t="str">
        <f t="shared" si="121"/>
        <v>6H_14S.LL.W</v>
      </c>
      <c r="AU426" s="18" t="s">
        <v>69</v>
      </c>
      <c r="AV426" s="18" t="s">
        <v>1039</v>
      </c>
      <c r="AW426" s="20" t="s">
        <v>113</v>
      </c>
      <c r="AX426" s="228">
        <v>1220115</v>
      </c>
      <c r="AY426" s="229">
        <v>0</v>
      </c>
      <c r="BA426" s="91"/>
      <c r="CK426" s="160"/>
      <c r="CL426" s="18"/>
      <c r="CM426" s="18"/>
      <c r="CN426" s="18"/>
      <c r="CO426" s="23"/>
      <c r="CP426" s="226"/>
      <c r="CQ426" s="23"/>
      <c r="CR426" s="161"/>
      <c r="CS426" s="23"/>
      <c r="CT426" s="23"/>
      <c r="DH426" s="232"/>
      <c r="DI426" s="234"/>
      <c r="DJ426" s="234"/>
      <c r="DK426" s="235"/>
      <c r="DL426" s="236"/>
      <c r="DM426" s="236"/>
      <c r="DN426" s="236"/>
      <c r="EF426" s="19"/>
      <c r="EG426" s="18"/>
      <c r="EH426" s="18"/>
      <c r="EI426" s="18"/>
      <c r="EY426" s="18"/>
      <c r="EZ426" s="18"/>
      <c r="FA426" s="18"/>
    </row>
    <row r="427" spans="46:157" x14ac:dyDescent="0.3">
      <c r="AT427" s="44" t="str">
        <f t="shared" si="121"/>
        <v>6H_14x8S.LL.W</v>
      </c>
      <c r="AU427" s="18" t="s">
        <v>69</v>
      </c>
      <c r="AV427" s="18" t="s">
        <v>1075</v>
      </c>
      <c r="AW427" s="20" t="s">
        <v>113</v>
      </c>
      <c r="AX427" s="228">
        <v>1220115</v>
      </c>
      <c r="AY427" s="229">
        <v>0</v>
      </c>
      <c r="BA427" s="91"/>
      <c r="CK427" s="160"/>
      <c r="CL427" s="18"/>
      <c r="CM427" s="18"/>
      <c r="CN427" s="18"/>
      <c r="CO427" s="23"/>
      <c r="CP427" s="226"/>
      <c r="CQ427" s="23"/>
      <c r="CR427" s="161"/>
      <c r="CS427" s="23"/>
      <c r="CT427" s="23"/>
      <c r="DH427" s="232"/>
      <c r="DI427" s="234"/>
      <c r="DJ427" s="234"/>
      <c r="DK427" s="235"/>
      <c r="DL427" s="236"/>
      <c r="DM427" s="236"/>
      <c r="DN427" s="236"/>
      <c r="EF427" s="19"/>
      <c r="EG427" s="18"/>
      <c r="EH427" s="18"/>
      <c r="EI427" s="18"/>
      <c r="EY427" s="18"/>
      <c r="EZ427" s="18"/>
      <c r="FA427" s="18"/>
    </row>
    <row r="428" spans="46:157" x14ac:dyDescent="0.3">
      <c r="AT428" s="44" t="str">
        <f t="shared" si="121"/>
        <v>7_10T.LL.W</v>
      </c>
      <c r="AU428" s="18" t="s">
        <v>69</v>
      </c>
      <c r="AV428" s="18" t="s">
        <v>763</v>
      </c>
      <c r="AW428" s="20" t="s">
        <v>113</v>
      </c>
      <c r="AX428" s="228">
        <v>1220115</v>
      </c>
      <c r="AY428" s="229">
        <v>0</v>
      </c>
      <c r="BA428" s="91"/>
      <c r="CK428" s="160"/>
      <c r="CL428" s="18"/>
      <c r="CM428" s="18"/>
      <c r="CN428" s="18"/>
      <c r="CO428" s="23"/>
      <c r="CP428" s="226"/>
      <c r="CQ428" s="23"/>
      <c r="CR428" s="161"/>
      <c r="CS428" s="23"/>
      <c r="CT428" s="23"/>
      <c r="DH428" s="232"/>
      <c r="DI428" s="234"/>
      <c r="DJ428" s="234"/>
      <c r="DK428" s="235"/>
      <c r="DL428" s="236"/>
      <c r="DM428" s="236"/>
      <c r="DN428" s="236"/>
      <c r="EF428" s="19"/>
      <c r="EG428" s="18"/>
      <c r="EH428" s="18"/>
      <c r="EI428" s="18"/>
      <c r="EY428" s="18"/>
      <c r="EZ428" s="18"/>
      <c r="FA428" s="18"/>
    </row>
    <row r="429" spans="46:157" x14ac:dyDescent="0.3">
      <c r="AT429" s="44" t="str">
        <f t="shared" si="121"/>
        <v>7H_10T.LL.W</v>
      </c>
      <c r="AU429" s="18" t="s">
        <v>69</v>
      </c>
      <c r="AV429" s="18" t="s">
        <v>769</v>
      </c>
      <c r="AW429" s="20" t="s">
        <v>113</v>
      </c>
      <c r="AX429" s="228">
        <v>1220115</v>
      </c>
      <c r="AY429" s="229">
        <v>0</v>
      </c>
      <c r="BA429" s="91"/>
      <c r="CK429" s="160"/>
      <c r="CL429" s="18"/>
      <c r="CM429" s="18"/>
      <c r="CN429" s="18"/>
      <c r="CO429" s="23"/>
      <c r="CP429" s="226"/>
      <c r="CQ429" s="23"/>
      <c r="CR429" s="161"/>
      <c r="CS429" s="23"/>
      <c r="CT429" s="23"/>
      <c r="DH429" s="232"/>
      <c r="DI429" s="234"/>
      <c r="DJ429" s="234"/>
      <c r="DK429" s="235"/>
      <c r="DL429" s="236"/>
      <c r="DM429" s="236"/>
      <c r="DN429" s="236"/>
      <c r="EF429" s="19"/>
      <c r="EG429" s="18"/>
      <c r="EH429" s="18"/>
      <c r="EI429" s="18"/>
      <c r="EY429" s="18"/>
      <c r="EZ429" s="18"/>
      <c r="FA429" s="18"/>
    </row>
    <row r="430" spans="46:157" x14ac:dyDescent="0.3">
      <c r="AT430" s="44" t="str">
        <f t="shared" si="121"/>
        <v>8_10T.LL.W</v>
      </c>
      <c r="AU430" s="18" t="s">
        <v>69</v>
      </c>
      <c r="AV430" s="18" t="s">
        <v>776</v>
      </c>
      <c r="AW430" s="20" t="s">
        <v>113</v>
      </c>
      <c r="AX430" s="228">
        <v>1220115</v>
      </c>
      <c r="AY430" s="229">
        <v>0</v>
      </c>
      <c r="BA430" s="91"/>
      <c r="CK430" s="160"/>
      <c r="CL430" s="18"/>
      <c r="CM430" s="18"/>
      <c r="CN430" s="18"/>
      <c r="CO430" s="23"/>
      <c r="CP430" s="226"/>
      <c r="CQ430" s="23"/>
      <c r="CR430" s="161"/>
      <c r="CS430" s="23"/>
      <c r="CT430" s="23"/>
      <c r="DH430" s="232"/>
      <c r="DI430" s="234"/>
      <c r="DJ430" s="234"/>
      <c r="DK430" s="235"/>
      <c r="DL430" s="236"/>
      <c r="DM430" s="236"/>
      <c r="DN430" s="236"/>
      <c r="EF430" s="19"/>
      <c r="EG430" s="18"/>
      <c r="EH430" s="18"/>
      <c r="EI430" s="20"/>
      <c r="EY430" s="18"/>
      <c r="EZ430" s="18"/>
      <c r="FA430" s="18"/>
    </row>
    <row r="431" spans="46:157" x14ac:dyDescent="0.3">
      <c r="AT431" s="44" t="str">
        <f t="shared" si="121"/>
        <v>8_12T.LL.W</v>
      </c>
      <c r="AU431" s="18" t="s">
        <v>69</v>
      </c>
      <c r="AV431" s="18" t="s">
        <v>791</v>
      </c>
      <c r="AW431" s="20" t="s">
        <v>113</v>
      </c>
      <c r="AX431" s="228">
        <v>1220115</v>
      </c>
      <c r="AY431" s="229">
        <v>0</v>
      </c>
      <c r="BA431" s="91"/>
      <c r="CK431" s="160"/>
      <c r="CL431" s="18"/>
      <c r="CM431" s="18"/>
      <c r="CN431" s="18"/>
      <c r="CO431" s="23"/>
      <c r="CP431" s="226"/>
      <c r="CQ431" s="23"/>
      <c r="CR431" s="161"/>
      <c r="CS431" s="23"/>
      <c r="CT431" s="23"/>
      <c r="DH431" s="232"/>
      <c r="DI431" s="234"/>
      <c r="DJ431" s="234"/>
      <c r="DK431" s="235"/>
      <c r="DL431" s="236"/>
      <c r="DM431" s="236"/>
      <c r="DN431" s="236"/>
      <c r="EF431" s="19"/>
      <c r="EG431" s="18"/>
      <c r="EH431" s="18"/>
      <c r="EI431" s="18"/>
      <c r="EY431" s="18"/>
      <c r="EZ431" s="18"/>
      <c r="FA431" s="18"/>
    </row>
    <row r="432" spans="46:157" x14ac:dyDescent="0.3">
      <c r="AT432" s="44" t="str">
        <f t="shared" si="121"/>
        <v>8_14S.LL.W</v>
      </c>
      <c r="AU432" s="18" t="s">
        <v>69</v>
      </c>
      <c r="AV432" s="18" t="s">
        <v>1046</v>
      </c>
      <c r="AW432" s="20" t="s">
        <v>113</v>
      </c>
      <c r="AX432" s="228">
        <v>1220115</v>
      </c>
      <c r="AY432" s="229">
        <v>0</v>
      </c>
      <c r="BA432" s="91"/>
      <c r="CK432" s="160"/>
      <c r="CL432" s="18"/>
      <c r="CM432" s="18"/>
      <c r="CN432" s="18"/>
      <c r="CO432" s="18"/>
      <c r="CP432" s="18"/>
      <c r="CQ432" s="23"/>
      <c r="CR432" s="161"/>
      <c r="CS432" s="23"/>
      <c r="CT432" s="23"/>
      <c r="DH432" s="232"/>
      <c r="DI432" s="234"/>
      <c r="DJ432" s="234"/>
      <c r="DK432" s="235"/>
      <c r="DL432" s="236"/>
      <c r="DM432" s="236"/>
      <c r="DN432" s="236"/>
      <c r="EF432" s="19"/>
      <c r="EG432" s="18"/>
      <c r="EH432" s="18"/>
      <c r="EI432" s="18"/>
      <c r="EY432" s="18"/>
      <c r="EZ432" s="18"/>
      <c r="FA432" s="18"/>
    </row>
    <row r="433" spans="46:157" x14ac:dyDescent="0.3">
      <c r="AT433" s="44" t="str">
        <f t="shared" si="121"/>
        <v>9_10T.LL.W</v>
      </c>
      <c r="AU433" s="18" t="s">
        <v>69</v>
      </c>
      <c r="AV433" s="18" t="s">
        <v>783</v>
      </c>
      <c r="AW433" s="20" t="s">
        <v>113</v>
      </c>
      <c r="AX433" s="228">
        <v>1220115</v>
      </c>
      <c r="AY433" s="229">
        <v>0</v>
      </c>
      <c r="BA433" s="91"/>
      <c r="CK433" s="160"/>
      <c r="CL433" s="18"/>
      <c r="CM433" s="18"/>
      <c r="CN433" s="18"/>
      <c r="CO433" s="18"/>
      <c r="CP433" s="18"/>
      <c r="CQ433" s="23"/>
      <c r="CR433" s="161"/>
      <c r="CS433" s="23"/>
      <c r="CT433" s="23"/>
      <c r="DH433" s="232"/>
      <c r="DI433" s="234"/>
      <c r="DJ433" s="234"/>
      <c r="DK433" s="235"/>
      <c r="DL433" s="236"/>
      <c r="DM433" s="236"/>
      <c r="DN433" s="236"/>
      <c r="EF433" s="19"/>
      <c r="EG433" s="18"/>
      <c r="EH433" s="18"/>
      <c r="EI433" s="20"/>
      <c r="EY433" s="18"/>
      <c r="EZ433" s="18"/>
      <c r="FA433" s="18"/>
    </row>
    <row r="434" spans="46:157" x14ac:dyDescent="0.3">
      <c r="AT434" s="44" t="str">
        <f t="shared" si="121"/>
        <v>9_12T.LL.W</v>
      </c>
      <c r="AU434" s="18" t="s">
        <v>69</v>
      </c>
      <c r="AV434" s="18" t="s">
        <v>804</v>
      </c>
      <c r="AW434" s="20" t="s">
        <v>113</v>
      </c>
      <c r="AX434" s="228">
        <v>1220115</v>
      </c>
      <c r="AY434" s="229">
        <v>0</v>
      </c>
      <c r="BA434" s="91"/>
      <c r="CK434" s="160"/>
      <c r="CL434" s="18"/>
      <c r="CM434" s="18"/>
      <c r="CN434" s="18"/>
      <c r="CO434" s="18"/>
      <c r="CP434" s="18"/>
      <c r="CQ434" s="23"/>
      <c r="CR434" s="161"/>
      <c r="CS434" s="23"/>
      <c r="CT434" s="23"/>
      <c r="DH434" s="232"/>
      <c r="DI434" s="234"/>
      <c r="DJ434" s="234"/>
      <c r="DK434" s="235"/>
      <c r="DL434" s="236"/>
      <c r="DM434" s="236"/>
      <c r="DN434" s="236"/>
      <c r="EF434" s="19"/>
      <c r="EG434" s="18"/>
      <c r="EH434" s="18"/>
      <c r="EI434" s="18"/>
      <c r="EY434" s="18"/>
      <c r="EZ434" s="18"/>
      <c r="FA434" s="18"/>
    </row>
    <row r="435" spans="46:157" x14ac:dyDescent="0.3">
      <c r="AT435" s="44" t="str">
        <f t="shared" si="121"/>
        <v>9_13T.LL.W</v>
      </c>
      <c r="AU435" s="18" t="s">
        <v>69</v>
      </c>
      <c r="AV435" s="18" t="s">
        <v>837</v>
      </c>
      <c r="AW435" s="20" t="s">
        <v>113</v>
      </c>
      <c r="AX435" s="228">
        <v>1220115</v>
      </c>
      <c r="AY435" s="229">
        <v>0</v>
      </c>
      <c r="BA435" s="91"/>
      <c r="CK435" s="160"/>
      <c r="CL435" s="18"/>
      <c r="CM435" s="18"/>
      <c r="CN435" s="18"/>
      <c r="CO435" s="18"/>
      <c r="CP435" s="18"/>
      <c r="CQ435" s="23"/>
      <c r="CR435" s="161"/>
      <c r="CS435" s="23"/>
      <c r="CT435" s="23"/>
      <c r="DH435" s="232"/>
      <c r="DI435" s="234"/>
      <c r="DJ435" s="234"/>
      <c r="DK435" s="235"/>
      <c r="DL435" s="236"/>
      <c r="DM435" s="236"/>
      <c r="DN435" s="236"/>
      <c r="EF435" s="21"/>
      <c r="EG435" s="18"/>
      <c r="EH435" s="18"/>
      <c r="EI435" s="18"/>
      <c r="EY435" s="18"/>
      <c r="EZ435" s="18"/>
      <c r="FA435" s="18"/>
    </row>
    <row r="436" spans="46:157" x14ac:dyDescent="0.3">
      <c r="AT436" s="44" t="str">
        <f t="shared" si="121"/>
        <v>9_14T.LL.W</v>
      </c>
      <c r="AU436" s="18" t="s">
        <v>69</v>
      </c>
      <c r="AV436" s="18" t="s">
        <v>874</v>
      </c>
      <c r="AW436" s="20" t="s">
        <v>113</v>
      </c>
      <c r="AX436" s="228">
        <v>1220115</v>
      </c>
      <c r="AY436" s="229">
        <v>0</v>
      </c>
      <c r="BA436" s="91"/>
      <c r="CK436" s="160"/>
      <c r="CL436" s="18"/>
      <c r="CM436" s="18"/>
      <c r="CN436" s="18"/>
      <c r="CO436" s="18"/>
      <c r="CP436" s="18"/>
      <c r="CQ436" s="23"/>
      <c r="CR436" s="161"/>
      <c r="CS436" s="23"/>
      <c r="CT436" s="23"/>
      <c r="DH436" s="232"/>
      <c r="DI436" s="234"/>
      <c r="DJ436" s="234"/>
      <c r="DK436" s="235"/>
      <c r="DL436" s="236"/>
      <c r="DM436" s="236"/>
      <c r="DN436" s="236"/>
      <c r="EF436" s="19"/>
      <c r="EG436" s="18"/>
      <c r="EH436" s="18"/>
      <c r="EI436" s="18"/>
      <c r="EY436" s="18"/>
      <c r="EZ436" s="18"/>
      <c r="FA436" s="18"/>
    </row>
    <row r="437" spans="46:157" x14ac:dyDescent="0.3">
      <c r="AT437" s="44" t="str">
        <f t="shared" si="121"/>
        <v>10_12T.LM.S</v>
      </c>
      <c r="AU437" s="18" t="s">
        <v>70</v>
      </c>
      <c r="AV437" s="18" t="s">
        <v>813</v>
      </c>
      <c r="AW437" s="20" t="s">
        <v>377</v>
      </c>
      <c r="AX437" s="228">
        <v>1220115</v>
      </c>
      <c r="AY437" s="229">
        <v>400</v>
      </c>
      <c r="BA437" s="91"/>
      <c r="CK437" s="160"/>
      <c r="CL437" s="18"/>
      <c r="CM437" s="18"/>
      <c r="CN437" s="18"/>
      <c r="CO437" s="18"/>
      <c r="CP437" s="18"/>
      <c r="CQ437" s="23"/>
      <c r="CR437" s="161"/>
      <c r="CS437" s="23"/>
      <c r="CT437" s="23"/>
      <c r="DH437" s="232"/>
      <c r="DI437" s="234"/>
      <c r="DJ437" s="234"/>
      <c r="DK437" s="235"/>
      <c r="DL437" s="236"/>
      <c r="DM437" s="236"/>
      <c r="DN437" s="236"/>
      <c r="EF437" s="19"/>
      <c r="EG437" s="18"/>
      <c r="EH437" s="18"/>
      <c r="EI437" s="20"/>
      <c r="EY437" s="18"/>
      <c r="EZ437" s="18"/>
      <c r="FA437" s="18"/>
    </row>
    <row r="438" spans="46:157" x14ac:dyDescent="0.3">
      <c r="AT438" s="44" t="str">
        <f t="shared" si="121"/>
        <v>10_13T.LM.S</v>
      </c>
      <c r="AU438" s="18" t="s">
        <v>70</v>
      </c>
      <c r="AV438" s="18" t="s">
        <v>848</v>
      </c>
      <c r="AW438" s="20" t="s">
        <v>377</v>
      </c>
      <c r="AX438" s="228">
        <v>1220115</v>
      </c>
      <c r="AY438" s="229">
        <v>400</v>
      </c>
      <c r="BA438" s="91"/>
      <c r="CK438" s="160"/>
      <c r="CL438" s="18"/>
      <c r="CM438" s="18"/>
      <c r="CN438" s="18"/>
      <c r="CO438" s="18"/>
      <c r="CP438" s="18"/>
      <c r="CQ438" s="23"/>
      <c r="CR438" s="161"/>
      <c r="CS438" s="23"/>
      <c r="CT438" s="23"/>
      <c r="DH438" s="232"/>
      <c r="DI438" s="234"/>
      <c r="DJ438" s="234"/>
      <c r="DK438" s="235"/>
      <c r="DL438" s="236"/>
      <c r="DM438" s="236"/>
      <c r="DN438" s="236"/>
      <c r="EF438" s="21"/>
      <c r="EG438" s="18"/>
      <c r="EH438" s="18"/>
      <c r="EI438" s="20"/>
      <c r="EY438" s="18"/>
      <c r="EZ438" s="18"/>
      <c r="FA438" s="18"/>
    </row>
    <row r="439" spans="46:157" x14ac:dyDescent="0.3">
      <c r="AT439" s="44" t="str">
        <f t="shared" si="121"/>
        <v>10_14S.LM.S</v>
      </c>
      <c r="AU439" s="18" t="s">
        <v>70</v>
      </c>
      <c r="AV439" s="18" t="s">
        <v>1122</v>
      </c>
      <c r="AW439" s="20" t="s">
        <v>377</v>
      </c>
      <c r="AX439" s="228">
        <v>1220115</v>
      </c>
      <c r="AY439" s="229">
        <v>250</v>
      </c>
      <c r="BA439" s="91"/>
      <c r="CK439" s="160"/>
      <c r="CL439" s="18"/>
      <c r="CM439" s="18"/>
      <c r="CN439" s="18"/>
      <c r="CO439" s="18"/>
      <c r="CP439" s="18"/>
      <c r="CQ439" s="23"/>
      <c r="CR439" s="161"/>
      <c r="CS439" s="23"/>
      <c r="CT439" s="23"/>
      <c r="DH439" s="232"/>
      <c r="DI439" s="234"/>
      <c r="DJ439" s="234"/>
      <c r="DK439" s="235"/>
      <c r="DL439" s="236"/>
      <c r="DM439" s="236"/>
      <c r="DN439" s="236"/>
      <c r="EF439" s="19"/>
      <c r="EG439" s="18"/>
      <c r="EH439" s="18"/>
      <c r="EI439" s="18"/>
      <c r="EY439" s="18"/>
      <c r="EZ439" s="18"/>
      <c r="FA439" s="18"/>
    </row>
    <row r="440" spans="46:157" x14ac:dyDescent="0.3">
      <c r="AT440" s="44" t="str">
        <f t="shared" si="121"/>
        <v>10_14T.LM.S</v>
      </c>
      <c r="AU440" s="18" t="s">
        <v>70</v>
      </c>
      <c r="AV440" s="18" t="s">
        <v>887</v>
      </c>
      <c r="AW440" s="20" t="s">
        <v>377</v>
      </c>
      <c r="AX440" s="228">
        <v>1220115</v>
      </c>
      <c r="AY440" s="229">
        <v>404</v>
      </c>
      <c r="BA440" s="91"/>
      <c r="CK440" s="160"/>
      <c r="CL440" s="18"/>
      <c r="CM440" s="18"/>
      <c r="CN440" s="18"/>
      <c r="CO440" s="18"/>
      <c r="CP440" s="18"/>
      <c r="CQ440" s="23"/>
      <c r="CR440" s="161"/>
      <c r="CS440" s="23"/>
      <c r="CT440" s="23"/>
      <c r="DH440" s="232"/>
      <c r="DI440" s="234"/>
      <c r="DJ440" s="234"/>
      <c r="DK440" s="235"/>
      <c r="DL440" s="236"/>
      <c r="DM440" s="236"/>
      <c r="DN440" s="236"/>
      <c r="EF440" s="19"/>
      <c r="EG440" s="18"/>
      <c r="EH440" s="18"/>
      <c r="EI440" s="18"/>
      <c r="EY440" s="18"/>
      <c r="EZ440" s="18"/>
      <c r="FA440" s="18"/>
    </row>
    <row r="441" spans="46:157" x14ac:dyDescent="0.3">
      <c r="AT441" s="44" t="str">
        <f t="shared" si="121"/>
        <v>11_12T.LM.S</v>
      </c>
      <c r="AU441" s="18" t="s">
        <v>70</v>
      </c>
      <c r="AV441" s="18" t="s">
        <v>825</v>
      </c>
      <c r="AW441" s="20" t="s">
        <v>377</v>
      </c>
      <c r="AX441" s="228">
        <v>1220115</v>
      </c>
      <c r="AY441" s="229">
        <v>400</v>
      </c>
      <c r="BA441" s="91"/>
      <c r="CK441" s="160"/>
      <c r="CL441" s="18"/>
      <c r="CM441" s="18"/>
      <c r="CN441" s="18"/>
      <c r="CO441" s="18"/>
      <c r="CP441" s="18"/>
      <c r="CQ441" s="23"/>
      <c r="CR441" s="161"/>
      <c r="CS441" s="23"/>
      <c r="CT441" s="23"/>
      <c r="DH441" s="232"/>
      <c r="DI441" s="234"/>
      <c r="DJ441" s="234"/>
      <c r="DK441" s="235"/>
      <c r="DL441" s="236"/>
      <c r="DM441" s="236"/>
      <c r="DN441" s="236"/>
      <c r="EF441" s="19"/>
      <c r="EG441" s="18"/>
      <c r="EH441" s="18"/>
      <c r="EI441" s="18"/>
      <c r="EY441" s="18"/>
      <c r="EZ441" s="18"/>
      <c r="FA441" s="18"/>
    </row>
    <row r="442" spans="46:157" x14ac:dyDescent="0.3">
      <c r="AT442" s="44" t="str">
        <f t="shared" si="121"/>
        <v>11_13T.LM.S</v>
      </c>
      <c r="AU442" s="18" t="s">
        <v>70</v>
      </c>
      <c r="AV442" s="18" t="s">
        <v>857</v>
      </c>
      <c r="AW442" s="20" t="s">
        <v>377</v>
      </c>
      <c r="AX442" s="228">
        <v>1220115</v>
      </c>
      <c r="AY442" s="229">
        <v>400</v>
      </c>
      <c r="BA442" s="91"/>
      <c r="CK442" s="160"/>
      <c r="CL442" s="18"/>
      <c r="CM442" s="18"/>
      <c r="CN442" s="18"/>
      <c r="CO442" s="18"/>
      <c r="CP442" s="18"/>
      <c r="CQ442" s="23"/>
      <c r="CR442" s="161"/>
      <c r="CS442" s="23"/>
      <c r="CT442" s="23"/>
      <c r="DH442" s="232"/>
      <c r="DI442" s="234"/>
      <c r="DJ442" s="234"/>
      <c r="DK442" s="235"/>
      <c r="DL442" s="236"/>
      <c r="DM442" s="236"/>
      <c r="DN442" s="236"/>
      <c r="EF442" s="21"/>
      <c r="EG442" s="18"/>
      <c r="EH442" s="18"/>
      <c r="EI442" s="18"/>
      <c r="EY442" s="18"/>
      <c r="EZ442" s="18"/>
      <c r="FA442" s="18"/>
    </row>
    <row r="443" spans="46:157" x14ac:dyDescent="0.3">
      <c r="AT443" s="44" t="str">
        <f t="shared" si="121"/>
        <v>11_14T.LM.S</v>
      </c>
      <c r="AU443" s="18" t="s">
        <v>70</v>
      </c>
      <c r="AV443" s="18" t="s">
        <v>900</v>
      </c>
      <c r="AW443" s="20" t="s">
        <v>377</v>
      </c>
      <c r="AX443" s="228">
        <v>1220115</v>
      </c>
      <c r="AY443" s="229">
        <v>404</v>
      </c>
      <c r="BA443" s="91"/>
      <c r="CK443" s="160"/>
      <c r="CL443" s="18"/>
      <c r="CM443" s="18"/>
      <c r="CN443" s="18"/>
      <c r="CO443" s="18"/>
      <c r="CP443" s="18"/>
      <c r="CQ443" s="23"/>
      <c r="CR443" s="161"/>
      <c r="CS443" s="23"/>
      <c r="CT443" s="23"/>
      <c r="DH443" s="232"/>
      <c r="DI443" s="234"/>
      <c r="DJ443" s="234"/>
      <c r="DK443" s="235"/>
      <c r="DL443" s="236"/>
      <c r="DM443" s="236"/>
      <c r="DN443" s="236"/>
      <c r="EF443" s="21"/>
      <c r="EG443" s="18"/>
      <c r="EH443" s="18"/>
      <c r="EI443" s="18"/>
      <c r="EY443" s="18"/>
      <c r="EZ443" s="18"/>
      <c r="FA443" s="18"/>
    </row>
    <row r="444" spans="46:157" x14ac:dyDescent="0.3">
      <c r="AT444" s="44" t="str">
        <f t="shared" si="121"/>
        <v>12_13T.LM.S</v>
      </c>
      <c r="AU444" s="18" t="s">
        <v>70</v>
      </c>
      <c r="AV444" s="18" t="s">
        <v>865</v>
      </c>
      <c r="AW444" s="20" t="s">
        <v>377</v>
      </c>
      <c r="AX444" s="228">
        <v>1220115</v>
      </c>
      <c r="AY444" s="229">
        <v>400</v>
      </c>
      <c r="BA444" s="91"/>
      <c r="CK444" s="160"/>
      <c r="CL444" s="18"/>
      <c r="CM444" s="18"/>
      <c r="CN444" s="18"/>
      <c r="CO444" s="18"/>
      <c r="CP444" s="18"/>
      <c r="CQ444" s="23"/>
      <c r="CR444" s="161"/>
      <c r="CS444" s="23"/>
      <c r="CT444" s="23"/>
      <c r="DH444" s="232"/>
      <c r="DI444" s="234"/>
      <c r="DJ444" s="234"/>
      <c r="DK444" s="235"/>
      <c r="DL444" s="236"/>
      <c r="DM444" s="236"/>
      <c r="DN444" s="236"/>
      <c r="EF444" s="19"/>
      <c r="EG444" s="18"/>
      <c r="EH444" s="18"/>
      <c r="EI444" s="18"/>
      <c r="EY444" s="18"/>
      <c r="EZ444" s="18"/>
      <c r="FA444" s="18"/>
    </row>
    <row r="445" spans="46:157" x14ac:dyDescent="0.3">
      <c r="AT445" s="44" t="str">
        <f t="shared" si="121"/>
        <v>12_14F.LM.S</v>
      </c>
      <c r="AU445" s="18" t="s">
        <v>70</v>
      </c>
      <c r="AV445" s="18" t="s">
        <v>583</v>
      </c>
      <c r="AW445" s="20" t="s">
        <v>377</v>
      </c>
      <c r="AX445" s="228">
        <v>1220115</v>
      </c>
      <c r="AY445" s="229">
        <v>404</v>
      </c>
      <c r="BA445" s="91"/>
      <c r="CK445" s="160"/>
      <c r="CL445" s="18"/>
      <c r="CM445" s="18"/>
      <c r="CN445" s="18"/>
      <c r="CO445" s="18"/>
      <c r="CP445" s="18"/>
      <c r="CQ445" s="23"/>
      <c r="CR445" s="161"/>
      <c r="CS445" s="23"/>
      <c r="CT445" s="23"/>
      <c r="DH445" s="232"/>
      <c r="DI445" s="234"/>
      <c r="DJ445" s="234"/>
      <c r="DK445" s="235"/>
      <c r="DL445" s="236"/>
      <c r="DM445" s="236"/>
      <c r="DN445" s="236"/>
      <c r="EF445" s="19"/>
      <c r="EG445" s="18"/>
      <c r="EH445" s="18"/>
      <c r="EI445" s="18"/>
      <c r="EY445" s="18"/>
      <c r="EZ445" s="18"/>
      <c r="FA445" s="18"/>
    </row>
    <row r="446" spans="46:157" x14ac:dyDescent="0.3">
      <c r="AT446" s="44" t="str">
        <f t="shared" si="121"/>
        <v>12_14T.LM.S</v>
      </c>
      <c r="AU446" s="18" t="s">
        <v>70</v>
      </c>
      <c r="AV446" s="18" t="s">
        <v>913</v>
      </c>
      <c r="AW446" s="20" t="s">
        <v>377</v>
      </c>
      <c r="AX446" s="228">
        <v>1220115</v>
      </c>
      <c r="AY446" s="229">
        <v>404</v>
      </c>
      <c r="BA446" s="91"/>
      <c r="CK446" s="160"/>
      <c r="CL446" s="18"/>
      <c r="CM446" s="18"/>
      <c r="CN446" s="18"/>
      <c r="CO446" s="18"/>
      <c r="CP446" s="18"/>
      <c r="CQ446" s="23"/>
      <c r="CR446" s="161"/>
      <c r="CS446" s="23"/>
      <c r="CT446" s="23"/>
      <c r="DH446" s="232"/>
      <c r="DI446" s="234"/>
      <c r="DJ446" s="234"/>
      <c r="DK446" s="235"/>
      <c r="DL446" s="236"/>
      <c r="DM446" s="236"/>
      <c r="DN446" s="236"/>
      <c r="EF446" s="19"/>
      <c r="EG446" s="18"/>
      <c r="EH446" s="18"/>
      <c r="EI446" s="18"/>
      <c r="EY446" s="18"/>
      <c r="EZ446" s="18"/>
      <c r="FA446" s="18"/>
    </row>
    <row r="447" spans="46:157" x14ac:dyDescent="0.3">
      <c r="AT447" s="44" t="str">
        <f t="shared" si="121"/>
        <v>12_15T.LM.S</v>
      </c>
      <c r="AU447" s="18" t="s">
        <v>70</v>
      </c>
      <c r="AV447" s="18" t="s">
        <v>941</v>
      </c>
      <c r="AW447" s="20" t="s">
        <v>377</v>
      </c>
      <c r="AX447" s="228">
        <v>1220115</v>
      </c>
      <c r="AY447" s="229">
        <v>400</v>
      </c>
      <c r="BA447" s="91"/>
      <c r="CK447" s="160"/>
      <c r="CL447" s="18"/>
      <c r="CM447" s="18"/>
      <c r="CN447" s="18"/>
      <c r="CO447" s="18"/>
      <c r="CP447" s="18"/>
      <c r="CQ447" s="23"/>
      <c r="CR447" s="161"/>
      <c r="CS447" s="23"/>
      <c r="CT447" s="23"/>
      <c r="DH447" s="232"/>
      <c r="DI447" s="234"/>
      <c r="DJ447" s="234"/>
      <c r="DK447" s="235"/>
      <c r="DL447" s="236"/>
      <c r="DM447" s="236"/>
      <c r="DN447" s="236"/>
      <c r="EF447" s="19"/>
      <c r="EG447" s="18"/>
      <c r="EH447" s="18"/>
      <c r="EI447" s="18"/>
      <c r="EY447" s="18"/>
      <c r="EZ447" s="18"/>
      <c r="FA447" s="18"/>
    </row>
    <row r="448" spans="46:157" x14ac:dyDescent="0.3">
      <c r="AT448" s="44" t="str">
        <f t="shared" si="121"/>
        <v>12_18B.LM.S</v>
      </c>
      <c r="AU448" s="18" t="s">
        <v>70</v>
      </c>
      <c r="AV448" s="18" t="s">
        <v>133</v>
      </c>
      <c r="AW448" s="20" t="s">
        <v>377</v>
      </c>
      <c r="AX448" s="228">
        <v>1220115</v>
      </c>
      <c r="AY448" s="229">
        <v>400</v>
      </c>
      <c r="BA448" s="91"/>
      <c r="CK448" s="160"/>
      <c r="CL448" s="18"/>
      <c r="CM448" s="18"/>
      <c r="CN448" s="18"/>
      <c r="CO448" s="18"/>
      <c r="CP448" s="18"/>
      <c r="CQ448" s="23"/>
      <c r="CR448" s="161"/>
      <c r="CS448" s="23"/>
      <c r="CT448" s="23"/>
      <c r="DH448" s="232"/>
      <c r="DI448" s="234"/>
      <c r="DJ448" s="234"/>
      <c r="DK448" s="235"/>
      <c r="DL448" s="236"/>
      <c r="DM448" s="236"/>
      <c r="DN448" s="236"/>
      <c r="EF448" s="19"/>
      <c r="EG448" s="18"/>
      <c r="EH448" s="18"/>
      <c r="EI448" s="20"/>
      <c r="EY448" s="18"/>
      <c r="EZ448" s="18"/>
      <c r="FA448" s="18"/>
    </row>
    <row r="449" spans="46:157" x14ac:dyDescent="0.3">
      <c r="AT449" s="44" t="str">
        <f t="shared" si="121"/>
        <v>12_20B.LM.S</v>
      </c>
      <c r="AU449" s="18" t="s">
        <v>70</v>
      </c>
      <c r="AV449" s="18" t="s">
        <v>217</v>
      </c>
      <c r="AW449" s="20" t="s">
        <v>377</v>
      </c>
      <c r="AX449" s="228">
        <v>1220115</v>
      </c>
      <c r="AY449" s="229">
        <v>400</v>
      </c>
      <c r="BA449" s="91"/>
      <c r="CK449" s="160"/>
      <c r="CL449" s="18"/>
      <c r="CM449" s="18"/>
      <c r="CN449" s="18"/>
      <c r="CO449" s="18"/>
      <c r="CP449" s="18"/>
      <c r="CQ449" s="23"/>
      <c r="CR449" s="161"/>
      <c r="CS449" s="23"/>
      <c r="CT449" s="23"/>
      <c r="DH449" s="232"/>
      <c r="DI449" s="234"/>
      <c r="DJ449" s="234"/>
      <c r="DK449" s="235"/>
      <c r="DL449" s="236"/>
      <c r="DM449" s="236"/>
      <c r="DN449" s="236"/>
      <c r="EF449" s="19"/>
      <c r="EG449" s="18"/>
      <c r="EH449" s="18"/>
      <c r="EI449" s="18"/>
      <c r="EY449" s="18"/>
      <c r="EZ449" s="18"/>
      <c r="FA449" s="18"/>
    </row>
    <row r="450" spans="46:157" x14ac:dyDescent="0.3">
      <c r="AT450" s="44" t="str">
        <f t="shared" si="121"/>
        <v>12_22B.LM.S</v>
      </c>
      <c r="AU450" s="18" t="s">
        <v>70</v>
      </c>
      <c r="AV450" s="18" t="s">
        <v>330</v>
      </c>
      <c r="AW450" s="20" t="s">
        <v>377</v>
      </c>
      <c r="AX450" s="228">
        <v>1220115</v>
      </c>
      <c r="AY450" s="229">
        <v>400</v>
      </c>
      <c r="BA450" s="91"/>
      <c r="CK450" s="160"/>
      <c r="CL450" s="18"/>
      <c r="CM450" s="18"/>
      <c r="CN450" s="18"/>
      <c r="CO450" s="18"/>
      <c r="CP450" s="18"/>
      <c r="DH450" s="232"/>
      <c r="DI450" s="234"/>
      <c r="DJ450" s="234"/>
      <c r="DK450" s="235"/>
      <c r="DL450" s="236"/>
      <c r="DM450" s="236"/>
      <c r="DN450" s="236"/>
    </row>
    <row r="451" spans="46:157" x14ac:dyDescent="0.3">
      <c r="AT451" s="44" t="str">
        <f t="shared" si="121"/>
        <v>12_24B.LM.S</v>
      </c>
      <c r="AU451" s="18" t="s">
        <v>70</v>
      </c>
      <c r="AV451" s="18" t="s">
        <v>413</v>
      </c>
      <c r="AW451" s="20" t="s">
        <v>377</v>
      </c>
      <c r="AX451" s="228">
        <v>1220115</v>
      </c>
      <c r="AY451" s="229">
        <v>400</v>
      </c>
      <c r="BA451" s="91"/>
      <c r="CK451" s="160"/>
      <c r="CL451" s="18"/>
      <c r="CM451" s="18"/>
      <c r="CN451" s="18"/>
      <c r="CO451" s="18"/>
      <c r="CP451" s="18"/>
      <c r="DH451" s="232"/>
      <c r="DI451" s="234"/>
      <c r="DJ451" s="234"/>
      <c r="DK451" s="235"/>
      <c r="DL451" s="236"/>
      <c r="DM451" s="236"/>
      <c r="DN451" s="236"/>
    </row>
    <row r="452" spans="46:157" x14ac:dyDescent="0.3">
      <c r="AT452" s="44" t="str">
        <f t="shared" si="121"/>
        <v>12_26B.LM.S</v>
      </c>
      <c r="AU452" s="18" t="s">
        <v>70</v>
      </c>
      <c r="AV452" s="18" t="s">
        <v>494</v>
      </c>
      <c r="AW452" s="20" t="s">
        <v>377</v>
      </c>
      <c r="AX452" s="228">
        <v>1220115</v>
      </c>
      <c r="AY452" s="229">
        <v>400</v>
      </c>
      <c r="BA452" s="91"/>
      <c r="CK452" s="160"/>
      <c r="CL452" s="18"/>
      <c r="CM452" s="18"/>
      <c r="CN452" s="18"/>
      <c r="CO452" s="18"/>
      <c r="CP452" s="18"/>
      <c r="DH452" s="232"/>
      <c r="DI452" s="234"/>
      <c r="DJ452" s="234"/>
      <c r="DK452" s="235"/>
      <c r="DL452" s="236"/>
      <c r="DM452" s="236"/>
      <c r="DN452" s="236"/>
    </row>
    <row r="453" spans="46:157" x14ac:dyDescent="0.3">
      <c r="AT453" s="44" t="str">
        <f t="shared" si="121"/>
        <v>13_14F.LM.S</v>
      </c>
      <c r="AU453" s="18" t="s">
        <v>70</v>
      </c>
      <c r="AV453" s="18" t="s">
        <v>602</v>
      </c>
      <c r="AW453" s="20" t="s">
        <v>377</v>
      </c>
      <c r="AX453" s="228">
        <v>1220115</v>
      </c>
      <c r="AY453" s="229">
        <v>404</v>
      </c>
      <c r="BA453" s="91"/>
      <c r="CK453" s="160"/>
      <c r="CL453" s="18"/>
      <c r="CM453" s="18"/>
      <c r="CN453" s="18"/>
      <c r="CO453" s="18"/>
      <c r="CP453" s="18"/>
      <c r="DH453" s="232"/>
      <c r="DI453" s="234"/>
      <c r="DJ453" s="234"/>
      <c r="DK453" s="235"/>
      <c r="DL453" s="236"/>
      <c r="DM453" s="236"/>
      <c r="DN453" s="236"/>
    </row>
    <row r="454" spans="46:157" x14ac:dyDescent="0.3">
      <c r="AT454" s="44" t="str">
        <f t="shared" si="121"/>
        <v>13_14T.LM.S</v>
      </c>
      <c r="AU454" s="18" t="s">
        <v>70</v>
      </c>
      <c r="AV454" s="18" t="s">
        <v>926</v>
      </c>
      <c r="AW454" s="20" t="s">
        <v>377</v>
      </c>
      <c r="AX454" s="228">
        <v>1220115</v>
      </c>
      <c r="AY454" s="229">
        <v>404</v>
      </c>
      <c r="BA454" s="91"/>
      <c r="CK454" s="160"/>
      <c r="CL454" s="18"/>
      <c r="CM454" s="18"/>
      <c r="CN454" s="18"/>
      <c r="CO454" s="18"/>
      <c r="CP454" s="18"/>
      <c r="DH454" s="232"/>
      <c r="DI454" s="234"/>
      <c r="DJ454" s="234"/>
      <c r="DK454" s="235"/>
      <c r="DL454" s="236"/>
      <c r="DM454" s="236"/>
      <c r="DN454" s="236"/>
    </row>
    <row r="455" spans="46:157" x14ac:dyDescent="0.3">
      <c r="AT455" s="44" t="str">
        <f t="shared" si="121"/>
        <v>13_15F.LM.S</v>
      </c>
      <c r="AU455" s="18" t="s">
        <v>70</v>
      </c>
      <c r="AV455" s="18" t="s">
        <v>630</v>
      </c>
      <c r="AW455" s="20" t="s">
        <v>377</v>
      </c>
      <c r="AX455" s="228">
        <v>1220115</v>
      </c>
      <c r="AY455" s="229">
        <v>400</v>
      </c>
      <c r="BA455" s="91"/>
      <c r="CK455" s="160"/>
      <c r="CL455" s="18"/>
      <c r="CM455" s="18"/>
      <c r="CN455" s="18"/>
      <c r="CO455" s="18"/>
      <c r="CP455" s="18"/>
      <c r="DH455" s="232"/>
      <c r="DI455" s="234"/>
      <c r="DJ455" s="234"/>
      <c r="DK455" s="235"/>
      <c r="DL455" s="236"/>
      <c r="DM455" s="236"/>
      <c r="DN455" s="236"/>
    </row>
    <row r="456" spans="46:157" x14ac:dyDescent="0.3">
      <c r="AT456" s="44" t="str">
        <f t="shared" si="121"/>
        <v>13_15T.LM.S</v>
      </c>
      <c r="AU456" s="18" t="s">
        <v>70</v>
      </c>
      <c r="AV456" s="18" t="s">
        <v>949</v>
      </c>
      <c r="AW456" s="20" t="s">
        <v>377</v>
      </c>
      <c r="AX456" s="228">
        <v>1220115</v>
      </c>
      <c r="AY456" s="229">
        <v>400</v>
      </c>
      <c r="BA456" s="91"/>
      <c r="CK456" s="160"/>
      <c r="CL456" s="18"/>
      <c r="CM456" s="18"/>
      <c r="CN456" s="18"/>
      <c r="CO456" s="18"/>
      <c r="CP456" s="18"/>
      <c r="DH456" s="232"/>
      <c r="DI456" s="234"/>
      <c r="DJ456" s="234"/>
      <c r="DK456" s="235"/>
      <c r="DL456" s="236"/>
      <c r="DM456" s="236"/>
      <c r="DN456" s="236"/>
    </row>
    <row r="457" spans="46:157" x14ac:dyDescent="0.3">
      <c r="AT457" s="44" t="str">
        <f t="shared" si="121"/>
        <v>13_16F.LM.S</v>
      </c>
      <c r="AU457" s="18" t="s">
        <v>70</v>
      </c>
      <c r="AV457" s="18" t="s">
        <v>665</v>
      </c>
      <c r="AW457" s="20" t="s">
        <v>377</v>
      </c>
      <c r="AX457" s="228">
        <v>1220115</v>
      </c>
      <c r="AY457" s="229">
        <v>400</v>
      </c>
      <c r="BA457" s="91"/>
      <c r="CK457" s="160"/>
      <c r="CL457" s="18"/>
      <c r="CM457" s="18"/>
      <c r="CN457" s="18"/>
      <c r="CO457" s="18"/>
      <c r="CP457" s="18"/>
      <c r="DH457" s="232"/>
      <c r="DI457" s="234"/>
      <c r="DJ457" s="234"/>
      <c r="DK457" s="235"/>
      <c r="DL457" s="236"/>
      <c r="DM457" s="236"/>
      <c r="DN457" s="236"/>
    </row>
    <row r="458" spans="46:157" x14ac:dyDescent="0.3">
      <c r="AT458" s="44" t="str">
        <f t="shared" si="121"/>
        <v>13_16T.LM.S</v>
      </c>
      <c r="AU458" s="18" t="s">
        <v>70</v>
      </c>
      <c r="AV458" s="18" t="s">
        <v>963</v>
      </c>
      <c r="AW458" s="20" t="s">
        <v>377</v>
      </c>
      <c r="AX458" s="228">
        <v>1220115</v>
      </c>
      <c r="AY458" s="229">
        <v>400</v>
      </c>
      <c r="BA458" s="91"/>
      <c r="CK458" s="160"/>
      <c r="CL458" s="18"/>
      <c r="CM458" s="18"/>
      <c r="CN458" s="18"/>
      <c r="CO458" s="18"/>
      <c r="CP458" s="18"/>
      <c r="DH458" s="232"/>
      <c r="DI458" s="234"/>
      <c r="DJ458" s="234"/>
      <c r="DK458" s="235"/>
      <c r="DL458" s="236"/>
      <c r="DM458" s="236"/>
      <c r="DN458" s="236"/>
    </row>
    <row r="459" spans="46:157" x14ac:dyDescent="0.3">
      <c r="AT459" s="44" t="str">
        <f t="shared" si="121"/>
        <v>14_14F.LM.S</v>
      </c>
      <c r="AU459" s="18" t="s">
        <v>70</v>
      </c>
      <c r="AV459" s="18" t="s">
        <v>616</v>
      </c>
      <c r="AW459" s="20" t="s">
        <v>377</v>
      </c>
      <c r="AX459" s="228">
        <v>1220115</v>
      </c>
      <c r="AY459" s="229">
        <v>404</v>
      </c>
      <c r="BA459" s="91"/>
      <c r="CK459" s="160"/>
      <c r="CL459" s="18"/>
      <c r="CM459" s="18"/>
      <c r="CN459" s="18"/>
      <c r="CO459" s="18"/>
      <c r="CP459" s="18"/>
      <c r="DH459" s="232"/>
      <c r="DI459" s="234"/>
      <c r="DJ459" s="234"/>
      <c r="DK459" s="235"/>
      <c r="DL459" s="236"/>
      <c r="DM459" s="236"/>
      <c r="DN459" s="236"/>
    </row>
    <row r="460" spans="46:157" x14ac:dyDescent="0.3">
      <c r="AT460" s="44" t="str">
        <f t="shared" si="121"/>
        <v>14_14T.LM.S</v>
      </c>
      <c r="AU460" s="18" t="s">
        <v>70</v>
      </c>
      <c r="AV460" s="18" t="s">
        <v>933</v>
      </c>
      <c r="AW460" s="20" t="s">
        <v>377</v>
      </c>
      <c r="AX460" s="228">
        <v>1220115</v>
      </c>
      <c r="AY460" s="229">
        <v>404</v>
      </c>
      <c r="BA460" s="91"/>
      <c r="CK460" s="160"/>
      <c r="CL460" s="18"/>
      <c r="CM460" s="18"/>
      <c r="CN460" s="18"/>
      <c r="CO460" s="18"/>
      <c r="CP460" s="18"/>
      <c r="DH460" s="232"/>
      <c r="DI460" s="234"/>
      <c r="DJ460" s="234"/>
      <c r="DK460" s="235"/>
      <c r="DL460" s="236"/>
      <c r="DM460" s="236"/>
      <c r="DN460" s="236"/>
    </row>
    <row r="461" spans="46:157" x14ac:dyDescent="0.3">
      <c r="AT461" s="44" t="str">
        <f t="shared" si="121"/>
        <v>14_15F.LM.S</v>
      </c>
      <c r="AU461" s="18" t="s">
        <v>70</v>
      </c>
      <c r="AV461" s="18" t="s">
        <v>647</v>
      </c>
      <c r="AW461" s="20" t="s">
        <v>377</v>
      </c>
      <c r="AX461" s="228">
        <v>1220115</v>
      </c>
      <c r="AY461" s="229">
        <v>400</v>
      </c>
      <c r="BA461" s="91"/>
      <c r="CK461" s="160"/>
      <c r="CL461" s="18"/>
      <c r="CM461" s="18"/>
      <c r="CN461" s="18"/>
      <c r="CO461" s="18"/>
      <c r="CP461" s="18"/>
      <c r="DH461" s="232"/>
      <c r="DI461" s="234"/>
      <c r="DJ461" s="234"/>
      <c r="DK461" s="235"/>
      <c r="DL461" s="236"/>
      <c r="DM461" s="236"/>
      <c r="DN461" s="236"/>
    </row>
    <row r="462" spans="46:157" x14ac:dyDescent="0.3">
      <c r="AT462" s="44" t="str">
        <f t="shared" si="121"/>
        <v>14_15T.LM.S</v>
      </c>
      <c r="AU462" s="18" t="s">
        <v>70</v>
      </c>
      <c r="AV462" s="18" t="s">
        <v>956</v>
      </c>
      <c r="AW462" s="20" t="s">
        <v>377</v>
      </c>
      <c r="AX462" s="228">
        <v>1220115</v>
      </c>
      <c r="AY462" s="229">
        <v>400</v>
      </c>
      <c r="BA462" s="91"/>
      <c r="CK462" s="160"/>
      <c r="CL462" s="18"/>
      <c r="CM462" s="18"/>
      <c r="CN462" s="18"/>
      <c r="CO462" s="18"/>
      <c r="CP462" s="18"/>
      <c r="DH462" s="232"/>
      <c r="DI462" s="234"/>
      <c r="DJ462" s="234"/>
      <c r="DK462" s="235"/>
      <c r="DL462" s="236"/>
      <c r="DM462" s="236"/>
      <c r="DN462" s="236"/>
    </row>
    <row r="463" spans="46:157" x14ac:dyDescent="0.3">
      <c r="AT463" s="44" t="str">
        <f t="shared" si="121"/>
        <v>14_16F.LM.S</v>
      </c>
      <c r="AU463" s="18" t="s">
        <v>70</v>
      </c>
      <c r="AV463" s="18" t="s">
        <v>681</v>
      </c>
      <c r="AW463" s="20" t="s">
        <v>377</v>
      </c>
      <c r="AX463" s="228">
        <v>1220115</v>
      </c>
      <c r="AY463" s="229">
        <v>400</v>
      </c>
      <c r="BA463" s="91"/>
      <c r="CK463" s="160"/>
      <c r="CL463" s="18"/>
      <c r="CM463" s="18"/>
      <c r="CN463" s="18"/>
      <c r="CO463" s="18"/>
      <c r="CP463" s="18"/>
      <c r="DH463" s="232"/>
      <c r="DI463" s="234"/>
      <c r="DJ463" s="234"/>
      <c r="DK463" s="235"/>
      <c r="DL463" s="236"/>
      <c r="DM463" s="236"/>
      <c r="DN463" s="236"/>
    </row>
    <row r="464" spans="46:157" x14ac:dyDescent="0.3">
      <c r="AT464" s="44" t="str">
        <f t="shared" si="121"/>
        <v>14_16T.LM.S</v>
      </c>
      <c r="AU464" s="18" t="s">
        <v>70</v>
      </c>
      <c r="AV464" s="18" t="s">
        <v>970</v>
      </c>
      <c r="AW464" s="20" t="s">
        <v>377</v>
      </c>
      <c r="AX464" s="228">
        <v>1220115</v>
      </c>
      <c r="AY464" s="229">
        <v>400</v>
      </c>
      <c r="BA464" s="91"/>
      <c r="CK464" s="160"/>
      <c r="CL464" s="18"/>
      <c r="CM464" s="18"/>
      <c r="CN464" s="18"/>
      <c r="CO464" s="18"/>
      <c r="CP464" s="18"/>
      <c r="DH464" s="232"/>
      <c r="DI464" s="234"/>
      <c r="DJ464" s="234"/>
      <c r="DK464" s="235"/>
      <c r="DL464" s="236"/>
      <c r="DM464" s="236"/>
      <c r="DN464" s="236"/>
    </row>
    <row r="465" spans="46:118" x14ac:dyDescent="0.3">
      <c r="AT465" s="44" t="str">
        <f t="shared" si="121"/>
        <v>14_18B.LM.S</v>
      </c>
      <c r="AU465" s="18" t="s">
        <v>70</v>
      </c>
      <c r="AV465" s="18" t="s">
        <v>160</v>
      </c>
      <c r="AW465" s="20" t="s">
        <v>377</v>
      </c>
      <c r="AX465" s="228">
        <v>1220115</v>
      </c>
      <c r="AY465" s="229">
        <v>400</v>
      </c>
      <c r="BA465" s="91"/>
      <c r="CK465" s="160"/>
      <c r="CL465" s="18"/>
      <c r="CM465" s="18"/>
      <c r="CN465" s="18"/>
      <c r="CO465" s="18"/>
      <c r="CP465" s="18"/>
      <c r="DH465" s="232"/>
      <c r="DI465" s="234"/>
      <c r="DJ465" s="234"/>
      <c r="DK465" s="235"/>
      <c r="DL465" s="236"/>
      <c r="DM465" s="236"/>
      <c r="DN465" s="236"/>
    </row>
    <row r="466" spans="46:118" x14ac:dyDescent="0.3">
      <c r="AT466" s="44" t="str">
        <f t="shared" si="121"/>
        <v>14_20B.LM.S</v>
      </c>
      <c r="AU466" s="18" t="s">
        <v>70</v>
      </c>
      <c r="AV466" s="18" t="s">
        <v>253</v>
      </c>
      <c r="AW466" s="20" t="s">
        <v>377</v>
      </c>
      <c r="AX466" s="228">
        <v>1220115</v>
      </c>
      <c r="AY466" s="229">
        <v>400</v>
      </c>
      <c r="BA466" s="91"/>
      <c r="CK466" s="160"/>
      <c r="CL466" s="18"/>
      <c r="CM466" s="18"/>
      <c r="CN466" s="18"/>
      <c r="CO466" s="18"/>
      <c r="CP466" s="18"/>
      <c r="DH466" s="232"/>
      <c r="DI466" s="234"/>
      <c r="DJ466" s="234"/>
      <c r="DK466" s="235"/>
      <c r="DL466" s="236"/>
      <c r="DM466" s="236"/>
      <c r="DN466" s="236"/>
    </row>
    <row r="467" spans="46:118" x14ac:dyDescent="0.3">
      <c r="AT467" s="44" t="str">
        <f t="shared" ref="AT467:AT530" si="122">CONCATENATE(AV467,".",AU467,".",AW467)</f>
        <v>14_22B.LM.S</v>
      </c>
      <c r="AU467" s="18" t="s">
        <v>70</v>
      </c>
      <c r="AV467" s="18" t="s">
        <v>346</v>
      </c>
      <c r="AW467" s="20" t="s">
        <v>377</v>
      </c>
      <c r="AX467" s="228">
        <v>1220115</v>
      </c>
      <c r="AY467" s="229">
        <v>400</v>
      </c>
      <c r="BA467" s="91"/>
      <c r="CK467" s="160"/>
      <c r="CL467" s="18"/>
      <c r="CM467" s="18"/>
      <c r="CN467" s="18"/>
      <c r="CO467" s="18"/>
      <c r="CP467" s="18"/>
      <c r="DH467" s="232"/>
      <c r="DI467" s="234"/>
      <c r="DJ467" s="234"/>
      <c r="DK467" s="235"/>
      <c r="DL467" s="236"/>
      <c r="DM467" s="236"/>
      <c r="DN467" s="236"/>
    </row>
    <row r="468" spans="46:118" x14ac:dyDescent="0.3">
      <c r="AT468" s="44" t="str">
        <f t="shared" si="122"/>
        <v>14_24B.LM.S</v>
      </c>
      <c r="AU468" s="18" t="s">
        <v>70</v>
      </c>
      <c r="AV468" s="18" t="s">
        <v>428</v>
      </c>
      <c r="AW468" s="20" t="s">
        <v>377</v>
      </c>
      <c r="AX468" s="228">
        <v>1220115</v>
      </c>
      <c r="AY468" s="229">
        <v>400</v>
      </c>
      <c r="BA468" s="91"/>
      <c r="CK468" s="160"/>
      <c r="CL468" s="18"/>
      <c r="CM468" s="18"/>
      <c r="CN468" s="18"/>
      <c r="CO468" s="18"/>
      <c r="CP468" s="18"/>
      <c r="DH468" s="232"/>
      <c r="DI468" s="234"/>
      <c r="DJ468" s="234"/>
      <c r="DK468" s="235"/>
      <c r="DL468" s="236"/>
      <c r="DM468" s="236"/>
      <c r="DN468" s="236"/>
    </row>
    <row r="469" spans="46:118" x14ac:dyDescent="0.3">
      <c r="AT469" s="44" t="str">
        <f t="shared" si="122"/>
        <v>14_26B.LM.S</v>
      </c>
      <c r="AU469" s="18" t="s">
        <v>70</v>
      </c>
      <c r="AV469" s="18" t="s">
        <v>512</v>
      </c>
      <c r="AW469" s="20" t="s">
        <v>377</v>
      </c>
      <c r="AX469" s="228">
        <v>1220115</v>
      </c>
      <c r="AY469" s="229">
        <v>400</v>
      </c>
      <c r="BA469" s="91"/>
      <c r="CK469" s="160"/>
      <c r="CL469" s="18"/>
      <c r="CM469" s="18"/>
      <c r="CN469" s="18"/>
      <c r="CO469" s="18"/>
      <c r="CP469" s="18"/>
      <c r="DH469" s="232"/>
      <c r="DI469" s="234"/>
      <c r="DJ469" s="234"/>
      <c r="DK469" s="235"/>
      <c r="DL469" s="236"/>
      <c r="DM469" s="236"/>
      <c r="DN469" s="236"/>
    </row>
    <row r="470" spans="46:118" x14ac:dyDescent="0.3">
      <c r="AT470" s="44" t="str">
        <f t="shared" si="122"/>
        <v>15_16F.LM.S</v>
      </c>
      <c r="AU470" s="18" t="s">
        <v>70</v>
      </c>
      <c r="AV470" s="18" t="s">
        <v>698</v>
      </c>
      <c r="AW470" s="20" t="s">
        <v>377</v>
      </c>
      <c r="AX470" s="228">
        <v>1220115</v>
      </c>
      <c r="AY470" s="229">
        <v>400</v>
      </c>
      <c r="BA470" s="91"/>
      <c r="CK470" s="160"/>
      <c r="CL470" s="18"/>
      <c r="CM470" s="18"/>
      <c r="CN470" s="18"/>
      <c r="CO470" s="18"/>
      <c r="CP470" s="18"/>
      <c r="DH470" s="232"/>
      <c r="DI470" s="234"/>
      <c r="DJ470" s="234"/>
      <c r="DK470" s="235"/>
      <c r="DL470" s="236"/>
      <c r="DM470" s="236"/>
      <c r="DN470" s="236"/>
    </row>
    <row r="471" spans="46:118" x14ac:dyDescent="0.3">
      <c r="AT471" s="44" t="str">
        <f t="shared" si="122"/>
        <v>15_16T.LM.S</v>
      </c>
      <c r="AU471" s="18" t="s">
        <v>70</v>
      </c>
      <c r="AV471" s="18" t="s">
        <v>977</v>
      </c>
      <c r="AW471" s="20" t="s">
        <v>377</v>
      </c>
      <c r="AX471" s="228">
        <v>1220115</v>
      </c>
      <c r="AY471" s="229">
        <v>400</v>
      </c>
      <c r="BA471" s="91"/>
      <c r="CK471" s="160"/>
      <c r="CL471" s="18"/>
      <c r="CM471" s="18"/>
      <c r="CN471" s="18"/>
      <c r="CO471" s="18"/>
      <c r="CP471" s="18"/>
      <c r="DH471" s="232"/>
      <c r="DI471" s="234"/>
      <c r="DJ471" s="234"/>
      <c r="DK471" s="235"/>
      <c r="DL471" s="236"/>
      <c r="DM471" s="236"/>
      <c r="DN471" s="236"/>
    </row>
    <row r="472" spans="46:118" x14ac:dyDescent="0.3">
      <c r="AT472" s="44" t="str">
        <f t="shared" si="122"/>
        <v>16_16F.LM.S</v>
      </c>
      <c r="AU472" s="18" t="s">
        <v>70</v>
      </c>
      <c r="AV472" s="18" t="s">
        <v>714</v>
      </c>
      <c r="AW472" s="20" t="s">
        <v>377</v>
      </c>
      <c r="AX472" s="228">
        <v>1220115</v>
      </c>
      <c r="AY472" s="229">
        <v>400</v>
      </c>
      <c r="BA472" s="91"/>
      <c r="CK472" s="160"/>
      <c r="CL472" s="18"/>
      <c r="CM472" s="18"/>
      <c r="CN472" s="18"/>
      <c r="CO472" s="18"/>
      <c r="CP472" s="18"/>
      <c r="DH472" s="232"/>
      <c r="DI472" s="234"/>
      <c r="DJ472" s="234"/>
      <c r="DK472" s="235"/>
      <c r="DL472" s="236"/>
      <c r="DM472" s="236"/>
      <c r="DN472" s="236"/>
    </row>
    <row r="473" spans="46:118" x14ac:dyDescent="0.3">
      <c r="AT473" s="44" t="str">
        <f t="shared" si="122"/>
        <v>16_16T.LM.S</v>
      </c>
      <c r="AU473" s="18" t="s">
        <v>70</v>
      </c>
      <c r="AV473" s="18" t="s">
        <v>985</v>
      </c>
      <c r="AW473" s="20" t="s">
        <v>377</v>
      </c>
      <c r="AX473" s="228">
        <v>1220115</v>
      </c>
      <c r="AY473" s="229">
        <v>400</v>
      </c>
      <c r="BA473" s="91"/>
      <c r="CK473" s="160"/>
      <c r="CL473" s="18"/>
      <c r="CM473" s="18"/>
      <c r="CN473" s="18"/>
      <c r="CO473" s="18"/>
      <c r="CP473" s="18"/>
      <c r="DH473" s="232"/>
      <c r="DI473" s="234"/>
      <c r="DJ473" s="234"/>
      <c r="DK473" s="235"/>
      <c r="DL473" s="236"/>
      <c r="DM473" s="236"/>
      <c r="DN473" s="236"/>
    </row>
    <row r="474" spans="46:118" x14ac:dyDescent="0.3">
      <c r="AT474" s="44" t="str">
        <f t="shared" si="122"/>
        <v>16_18B.LM.S</v>
      </c>
      <c r="AU474" s="18" t="s">
        <v>70</v>
      </c>
      <c r="AV474" s="18" t="s">
        <v>186</v>
      </c>
      <c r="AW474" s="20" t="s">
        <v>377</v>
      </c>
      <c r="AX474" s="228">
        <v>1220115</v>
      </c>
      <c r="AY474" s="229">
        <v>400</v>
      </c>
      <c r="BA474" s="91"/>
      <c r="CK474" s="160"/>
      <c r="CL474" s="18"/>
      <c r="CM474" s="18"/>
      <c r="CN474" s="18"/>
      <c r="CO474" s="18"/>
      <c r="CP474" s="18"/>
      <c r="DH474" s="232"/>
      <c r="DI474" s="234"/>
      <c r="DJ474" s="234"/>
      <c r="DK474" s="235"/>
      <c r="DL474" s="236"/>
      <c r="DM474" s="236"/>
      <c r="DN474" s="236"/>
    </row>
    <row r="475" spans="46:118" x14ac:dyDescent="0.3">
      <c r="AT475" s="44" t="str">
        <f t="shared" si="122"/>
        <v>16_18F.LM.S</v>
      </c>
      <c r="AU475" s="18" t="s">
        <v>70</v>
      </c>
      <c r="AV475" s="18" t="s">
        <v>726</v>
      </c>
      <c r="AW475" s="20" t="s">
        <v>377</v>
      </c>
      <c r="AX475" s="228">
        <v>1220115</v>
      </c>
      <c r="AY475" s="229">
        <v>400</v>
      </c>
      <c r="BA475" s="91"/>
      <c r="CK475" s="160"/>
      <c r="CL475" s="18"/>
      <c r="CM475" s="18"/>
      <c r="CN475" s="18"/>
      <c r="CO475" s="18"/>
      <c r="CP475" s="18"/>
      <c r="DH475" s="232"/>
      <c r="DI475" s="234"/>
      <c r="DJ475" s="234"/>
      <c r="DK475" s="235"/>
      <c r="DL475" s="236"/>
      <c r="DM475" s="236"/>
      <c r="DN475" s="236"/>
    </row>
    <row r="476" spans="46:118" x14ac:dyDescent="0.3">
      <c r="AT476" s="44" t="str">
        <f t="shared" si="122"/>
        <v>16_20B.LM.S</v>
      </c>
      <c r="AU476" s="18" t="s">
        <v>70</v>
      </c>
      <c r="AV476" s="18" t="s">
        <v>293</v>
      </c>
      <c r="AW476" s="20" t="s">
        <v>377</v>
      </c>
      <c r="AX476" s="228">
        <v>1220115</v>
      </c>
      <c r="AY476" s="229">
        <v>400</v>
      </c>
      <c r="BA476" s="91"/>
      <c r="CK476" s="160"/>
      <c r="CL476" s="18"/>
      <c r="CM476" s="18"/>
      <c r="CN476" s="18"/>
      <c r="CO476" s="18"/>
      <c r="CP476" s="18"/>
      <c r="DH476" s="232"/>
      <c r="DI476" s="234"/>
      <c r="DJ476" s="234"/>
      <c r="DK476" s="235"/>
      <c r="DL476" s="236"/>
      <c r="DM476" s="236"/>
      <c r="DN476" s="236"/>
    </row>
    <row r="477" spans="46:118" x14ac:dyDescent="0.3">
      <c r="AT477" s="44" t="str">
        <f t="shared" si="122"/>
        <v>16_22B.LM.S</v>
      </c>
      <c r="AU477" s="18" t="s">
        <v>70</v>
      </c>
      <c r="AV477" s="18" t="s">
        <v>365</v>
      </c>
      <c r="AW477" s="20" t="s">
        <v>377</v>
      </c>
      <c r="AX477" s="228">
        <v>1220115</v>
      </c>
      <c r="AY477" s="229">
        <v>400</v>
      </c>
      <c r="BA477" s="91"/>
      <c r="CK477" s="160"/>
      <c r="CL477" s="18"/>
      <c r="CM477" s="18"/>
      <c r="CN477" s="18"/>
      <c r="CO477" s="18"/>
      <c r="CP477" s="18"/>
      <c r="DH477" s="232"/>
      <c r="DI477" s="234"/>
      <c r="DJ477" s="234"/>
      <c r="DK477" s="235"/>
      <c r="DL477" s="236"/>
      <c r="DM477" s="236"/>
      <c r="DN477" s="236"/>
    </row>
    <row r="478" spans="46:118" x14ac:dyDescent="0.3">
      <c r="AT478" s="44" t="str">
        <f t="shared" si="122"/>
        <v>16_24B.LM.S</v>
      </c>
      <c r="AU478" s="18" t="s">
        <v>70</v>
      </c>
      <c r="AV478" s="18" t="s">
        <v>444</v>
      </c>
      <c r="AW478" s="20" t="s">
        <v>377</v>
      </c>
      <c r="AX478" s="228">
        <v>1220115</v>
      </c>
      <c r="AY478" s="229">
        <v>400</v>
      </c>
      <c r="BA478" s="91"/>
      <c r="CK478" s="160"/>
      <c r="CL478" s="18"/>
      <c r="CM478" s="18"/>
      <c r="CN478" s="18"/>
      <c r="CO478" s="18"/>
      <c r="CP478" s="18"/>
      <c r="DH478" s="232"/>
      <c r="DI478" s="234"/>
      <c r="DJ478" s="234"/>
      <c r="DK478" s="235"/>
      <c r="DL478" s="236"/>
      <c r="DM478" s="236"/>
      <c r="DN478" s="236"/>
    </row>
    <row r="479" spans="46:118" x14ac:dyDescent="0.3">
      <c r="AT479" s="44" t="str">
        <f t="shared" si="122"/>
        <v>16_26B.LM.S</v>
      </c>
      <c r="AU479" s="18" t="s">
        <v>70</v>
      </c>
      <c r="AV479" s="18" t="s">
        <v>532</v>
      </c>
      <c r="AW479" s="20" t="s">
        <v>377</v>
      </c>
      <c r="AX479" s="228">
        <v>1220115</v>
      </c>
      <c r="AY479" s="229">
        <v>400</v>
      </c>
      <c r="BA479" s="91"/>
      <c r="CK479" s="160"/>
      <c r="CL479" s="18"/>
      <c r="CM479" s="18"/>
      <c r="CN479" s="18"/>
      <c r="CO479" s="18"/>
      <c r="CP479" s="18"/>
      <c r="DH479" s="232"/>
      <c r="DI479" s="234"/>
      <c r="DJ479" s="234"/>
      <c r="DK479" s="235"/>
      <c r="DL479" s="236"/>
      <c r="DM479" s="236"/>
      <c r="DN479" s="236"/>
    </row>
    <row r="480" spans="46:118" x14ac:dyDescent="0.3">
      <c r="AT480" s="44" t="str">
        <f t="shared" si="122"/>
        <v>18_20B.LM.S</v>
      </c>
      <c r="AU480" s="18" t="s">
        <v>70</v>
      </c>
      <c r="AV480" s="18" t="s">
        <v>312</v>
      </c>
      <c r="AW480" s="20" t="s">
        <v>377</v>
      </c>
      <c r="AX480" s="228">
        <v>1220115</v>
      </c>
      <c r="AY480" s="229">
        <v>400</v>
      </c>
      <c r="BA480" s="91"/>
      <c r="CK480" s="160"/>
      <c r="CL480" s="18"/>
      <c r="CM480" s="18"/>
      <c r="CN480" s="18"/>
      <c r="CO480" s="18"/>
      <c r="CP480" s="18"/>
      <c r="DH480" s="232"/>
      <c r="DI480" s="234"/>
      <c r="DJ480" s="234"/>
      <c r="DK480" s="235"/>
      <c r="DL480" s="236"/>
      <c r="DM480" s="236"/>
      <c r="DN480" s="236"/>
    </row>
    <row r="481" spans="46:118" x14ac:dyDescent="0.3">
      <c r="AT481" s="44" t="str">
        <f t="shared" si="122"/>
        <v>18_22B.LM.S</v>
      </c>
      <c r="AU481" s="18" t="s">
        <v>70</v>
      </c>
      <c r="AV481" s="18" t="s">
        <v>382</v>
      </c>
      <c r="AW481" s="20" t="s">
        <v>377</v>
      </c>
      <c r="AX481" s="228">
        <v>1220115</v>
      </c>
      <c r="AY481" s="229">
        <v>400</v>
      </c>
      <c r="BA481" s="91"/>
      <c r="CK481" s="160"/>
      <c r="CL481" s="18"/>
      <c r="CM481" s="18"/>
      <c r="CN481" s="18"/>
      <c r="CO481" s="18"/>
      <c r="CP481" s="18"/>
      <c r="DH481" s="232"/>
      <c r="DI481" s="234"/>
      <c r="DJ481" s="234"/>
      <c r="DK481" s="235"/>
      <c r="DL481" s="236"/>
      <c r="DM481" s="236"/>
      <c r="DN481" s="236"/>
    </row>
    <row r="482" spans="46:118" x14ac:dyDescent="0.3">
      <c r="AT482" s="44" t="str">
        <f t="shared" si="122"/>
        <v>18_24B.LM.S</v>
      </c>
      <c r="AU482" s="18" t="s">
        <v>70</v>
      </c>
      <c r="AV482" s="18" t="s">
        <v>461</v>
      </c>
      <c r="AW482" s="20" t="s">
        <v>377</v>
      </c>
      <c r="AX482" s="228">
        <v>1220115</v>
      </c>
      <c r="AY482" s="229">
        <v>400</v>
      </c>
      <c r="BA482" s="91"/>
      <c r="CK482" s="160"/>
      <c r="CL482" s="18"/>
      <c r="CM482" s="18"/>
      <c r="CN482" s="18"/>
      <c r="CO482" s="18"/>
      <c r="CP482" s="18"/>
      <c r="DH482" s="232"/>
      <c r="DI482" s="234"/>
      <c r="DJ482" s="234"/>
      <c r="DK482" s="235"/>
      <c r="DL482" s="236"/>
      <c r="DM482" s="236"/>
      <c r="DN482" s="236"/>
    </row>
    <row r="483" spans="46:118" x14ac:dyDescent="0.3">
      <c r="AT483" s="44" t="str">
        <f t="shared" si="122"/>
        <v>20_20B.LM.S</v>
      </c>
      <c r="AU483" s="18" t="s">
        <v>70</v>
      </c>
      <c r="AV483" s="18" t="s">
        <v>331</v>
      </c>
      <c r="AW483" s="20" t="s">
        <v>377</v>
      </c>
      <c r="AX483" s="228">
        <v>1220115</v>
      </c>
      <c r="AY483" s="229">
        <v>400</v>
      </c>
      <c r="BA483" s="91"/>
      <c r="CK483" s="160"/>
      <c r="CL483" s="18"/>
      <c r="CM483" s="18"/>
      <c r="CN483" s="18"/>
      <c r="CO483" s="18"/>
      <c r="CP483" s="18"/>
      <c r="DH483" s="232"/>
      <c r="DI483" s="234"/>
      <c r="DJ483" s="234"/>
      <c r="DK483" s="235"/>
      <c r="DL483" s="236"/>
      <c r="DM483" s="236"/>
      <c r="DN483" s="236"/>
    </row>
    <row r="484" spans="46:118" x14ac:dyDescent="0.3">
      <c r="AT484" s="44" t="str">
        <f t="shared" si="122"/>
        <v>20_22B.LM.S</v>
      </c>
      <c r="AU484" s="18" t="s">
        <v>70</v>
      </c>
      <c r="AV484" s="18" t="s">
        <v>400</v>
      </c>
      <c r="AW484" s="20" t="s">
        <v>377</v>
      </c>
      <c r="AX484" s="228">
        <v>1220115</v>
      </c>
      <c r="AY484" s="229">
        <v>400</v>
      </c>
      <c r="BA484" s="91"/>
      <c r="CK484" s="160"/>
      <c r="CL484" s="18"/>
      <c r="CM484" s="18"/>
      <c r="CN484" s="18"/>
      <c r="CO484" s="18"/>
      <c r="CP484" s="18"/>
      <c r="DH484" s="232"/>
      <c r="DI484" s="234"/>
      <c r="DJ484" s="234"/>
      <c r="DK484" s="235"/>
      <c r="DL484" s="236"/>
      <c r="DM484" s="236"/>
      <c r="DN484" s="236"/>
    </row>
    <row r="485" spans="46:118" x14ac:dyDescent="0.3">
      <c r="AT485" s="44" t="str">
        <f t="shared" si="122"/>
        <v>20_24B.LM.S</v>
      </c>
      <c r="AU485" s="18" t="s">
        <v>70</v>
      </c>
      <c r="AV485" s="18" t="s">
        <v>479</v>
      </c>
      <c r="AW485" s="20" t="s">
        <v>377</v>
      </c>
      <c r="AX485" s="228">
        <v>1220115</v>
      </c>
      <c r="AY485" s="229">
        <v>400</v>
      </c>
      <c r="BA485" s="91"/>
      <c r="CK485" s="160"/>
      <c r="CL485" s="18"/>
      <c r="CM485" s="18"/>
      <c r="CN485" s="18"/>
      <c r="CO485" s="18"/>
      <c r="CP485" s="18"/>
      <c r="DH485" s="232"/>
      <c r="DI485" s="234"/>
      <c r="DJ485" s="234"/>
      <c r="DK485" s="235"/>
      <c r="DL485" s="236"/>
      <c r="DM485" s="236"/>
      <c r="DN485" s="236"/>
    </row>
    <row r="486" spans="46:118" x14ac:dyDescent="0.3">
      <c r="AT486" s="44" t="str">
        <f t="shared" si="122"/>
        <v>4_14S.LM.S</v>
      </c>
      <c r="AU486" s="18" t="s">
        <v>70</v>
      </c>
      <c r="AV486" s="18" t="s">
        <v>1017</v>
      </c>
      <c r="AW486" s="20" t="s">
        <v>377</v>
      </c>
      <c r="AX486" s="228">
        <v>1220115</v>
      </c>
      <c r="AY486" s="229">
        <v>400</v>
      </c>
      <c r="BA486" s="91"/>
      <c r="CK486" s="160"/>
      <c r="CL486" s="18"/>
      <c r="CM486" s="18"/>
      <c r="CN486" s="18"/>
      <c r="CO486" s="18"/>
      <c r="CP486" s="18"/>
      <c r="DH486" s="232"/>
      <c r="DI486" s="234"/>
      <c r="DJ486" s="234"/>
      <c r="DK486" s="235"/>
      <c r="DL486" s="236"/>
      <c r="DM486" s="236"/>
      <c r="DN486" s="236"/>
    </row>
    <row r="487" spans="46:118" x14ac:dyDescent="0.3">
      <c r="AT487" s="44" t="str">
        <f t="shared" si="122"/>
        <v>4_14x8S.LM.S</v>
      </c>
      <c r="AU487" s="18" t="s">
        <v>70</v>
      </c>
      <c r="AV487" s="18" t="s">
        <v>1049</v>
      </c>
      <c r="AW487" s="20" t="s">
        <v>377</v>
      </c>
      <c r="AX487" s="228">
        <v>1220115</v>
      </c>
      <c r="AY487" s="229">
        <v>400</v>
      </c>
      <c r="BA487" s="91"/>
      <c r="CK487" s="160"/>
      <c r="CL487" s="18"/>
      <c r="CM487" s="18"/>
      <c r="CN487" s="220"/>
      <c r="CO487" s="18"/>
      <c r="CP487" s="18"/>
      <c r="DH487" s="232"/>
      <c r="DI487" s="234"/>
      <c r="DJ487" s="234"/>
      <c r="DK487" s="235"/>
      <c r="DL487" s="236"/>
      <c r="DM487" s="236"/>
      <c r="DN487" s="236"/>
    </row>
    <row r="488" spans="46:118" x14ac:dyDescent="0.3">
      <c r="AT488" s="44" t="str">
        <f t="shared" si="122"/>
        <v>5_14S.LM.S</v>
      </c>
      <c r="AU488" s="18" t="s">
        <v>70</v>
      </c>
      <c r="AV488" s="18" t="s">
        <v>1026</v>
      </c>
      <c r="AW488" s="20" t="s">
        <v>377</v>
      </c>
      <c r="AX488" s="228">
        <v>1220115</v>
      </c>
      <c r="AY488" s="229">
        <v>400</v>
      </c>
      <c r="BA488" s="91"/>
      <c r="CK488" s="160"/>
      <c r="CL488" s="18"/>
      <c r="CM488" s="18"/>
      <c r="CN488" s="18"/>
      <c r="CO488" s="18"/>
      <c r="CP488" s="18"/>
      <c r="DH488" s="232"/>
      <c r="DI488" s="234"/>
      <c r="DJ488" s="234"/>
      <c r="DK488" s="235"/>
      <c r="DL488" s="236"/>
      <c r="DM488" s="236"/>
      <c r="DN488" s="236"/>
    </row>
    <row r="489" spans="46:118" x14ac:dyDescent="0.3">
      <c r="AT489" s="44" t="str">
        <f t="shared" si="122"/>
        <v>5_14x8S.LM.S</v>
      </c>
      <c r="AU489" s="18" t="s">
        <v>70</v>
      </c>
      <c r="AV489" s="18" t="s">
        <v>1059</v>
      </c>
      <c r="AW489" s="20" t="s">
        <v>377</v>
      </c>
      <c r="AX489" s="228">
        <v>1220115</v>
      </c>
      <c r="AY489" s="229">
        <v>400</v>
      </c>
      <c r="BA489" s="91"/>
      <c r="CK489" s="160"/>
      <c r="CL489" s="18"/>
      <c r="CM489" s="18"/>
      <c r="CN489" s="18"/>
      <c r="CO489" s="18"/>
      <c r="CP489" s="18"/>
      <c r="DH489" s="232"/>
      <c r="DI489" s="234"/>
      <c r="DJ489" s="234"/>
      <c r="DK489" s="235"/>
      <c r="DL489" s="236"/>
      <c r="DM489" s="236"/>
      <c r="DN489" s="236"/>
    </row>
    <row r="490" spans="46:118" x14ac:dyDescent="0.3">
      <c r="AT490" s="44" t="str">
        <f t="shared" si="122"/>
        <v>5H_14x8S.LM.S</v>
      </c>
      <c r="AU490" s="18" t="s">
        <v>70</v>
      </c>
      <c r="AV490" s="18" t="s">
        <v>1067</v>
      </c>
      <c r="AW490" s="20" t="s">
        <v>377</v>
      </c>
      <c r="AX490" s="228">
        <v>1220115</v>
      </c>
      <c r="AY490" s="229">
        <v>153</v>
      </c>
      <c r="BA490" s="91"/>
      <c r="CK490" s="160"/>
      <c r="CL490" s="18"/>
      <c r="CM490" s="18"/>
      <c r="CN490" s="18"/>
      <c r="CO490" s="18"/>
      <c r="CP490" s="18"/>
      <c r="DH490" s="232"/>
      <c r="DI490" s="234"/>
      <c r="DJ490" s="234"/>
      <c r="DK490" s="235"/>
      <c r="DL490" s="236"/>
      <c r="DM490" s="236"/>
      <c r="DN490" s="236"/>
    </row>
    <row r="491" spans="46:118" x14ac:dyDescent="0.3">
      <c r="AT491" s="44" t="str">
        <f t="shared" si="122"/>
        <v>6_12S.LM.S</v>
      </c>
      <c r="AU491" s="18" t="s">
        <v>70</v>
      </c>
      <c r="AV491" s="18" t="s">
        <v>995</v>
      </c>
      <c r="AW491" s="20" t="s">
        <v>377</v>
      </c>
      <c r="AX491" s="228">
        <v>1220115</v>
      </c>
      <c r="AY491" s="229">
        <v>152</v>
      </c>
      <c r="BA491" s="91"/>
      <c r="CK491" s="160"/>
      <c r="CL491" s="18"/>
      <c r="CM491" s="18"/>
      <c r="CN491" s="220"/>
      <c r="CO491" s="18"/>
      <c r="CP491" s="18"/>
      <c r="DH491" s="232"/>
      <c r="DI491" s="234"/>
      <c r="DJ491" s="234"/>
      <c r="DK491" s="235"/>
      <c r="DL491" s="236"/>
      <c r="DM491" s="236"/>
      <c r="DN491" s="236"/>
    </row>
    <row r="492" spans="46:118" x14ac:dyDescent="0.3">
      <c r="AT492" s="44" t="str">
        <f t="shared" si="122"/>
        <v>6_13S.LM.S</v>
      </c>
      <c r="AU492" s="18" t="s">
        <v>70</v>
      </c>
      <c r="AV492" s="18" t="s">
        <v>1012</v>
      </c>
      <c r="AW492" s="20" t="s">
        <v>377</v>
      </c>
      <c r="AX492" s="228">
        <v>1220115</v>
      </c>
      <c r="AY492" s="229">
        <v>152</v>
      </c>
      <c r="BA492" s="91"/>
      <c r="CK492" s="160"/>
      <c r="CL492" s="18"/>
      <c r="CM492" s="18"/>
      <c r="CN492" s="18"/>
      <c r="CO492" s="18"/>
      <c r="CP492" s="18"/>
      <c r="DH492" s="232"/>
      <c r="DI492" s="234"/>
      <c r="DJ492" s="234"/>
      <c r="DK492" s="235"/>
      <c r="DL492" s="236"/>
      <c r="DM492" s="236"/>
      <c r="DN492" s="236"/>
    </row>
    <row r="493" spans="46:118" x14ac:dyDescent="0.3">
      <c r="AT493" s="44" t="str">
        <f t="shared" si="122"/>
        <v>6H_14S.LM.S</v>
      </c>
      <c r="AU493" s="18" t="s">
        <v>70</v>
      </c>
      <c r="AV493" s="18" t="s">
        <v>1039</v>
      </c>
      <c r="AW493" s="20" t="s">
        <v>377</v>
      </c>
      <c r="AX493" s="228">
        <v>1220115</v>
      </c>
      <c r="AY493" s="229">
        <v>313</v>
      </c>
      <c r="BA493" s="91"/>
      <c r="CK493" s="160"/>
      <c r="CL493" s="18"/>
      <c r="CM493" s="18"/>
      <c r="CN493" s="18"/>
      <c r="CO493" s="18"/>
      <c r="CP493" s="18"/>
      <c r="DH493" s="232"/>
      <c r="DI493" s="234"/>
      <c r="DJ493" s="234"/>
      <c r="DK493" s="235"/>
      <c r="DL493" s="236"/>
      <c r="DM493" s="236"/>
      <c r="DN493" s="236"/>
    </row>
    <row r="494" spans="46:118" x14ac:dyDescent="0.3">
      <c r="AT494" s="44" t="str">
        <f t="shared" si="122"/>
        <v>6H_14x8S.LM.S</v>
      </c>
      <c r="AU494" s="18" t="s">
        <v>70</v>
      </c>
      <c r="AV494" s="18" t="s">
        <v>1075</v>
      </c>
      <c r="AW494" s="20" t="s">
        <v>377</v>
      </c>
      <c r="AX494" s="228">
        <v>1220115</v>
      </c>
      <c r="AY494" s="229">
        <v>313</v>
      </c>
      <c r="BA494" s="91"/>
      <c r="CK494" s="160"/>
      <c r="CL494" s="18"/>
      <c r="CM494" s="18"/>
      <c r="CN494" s="18"/>
      <c r="CO494" s="18"/>
      <c r="CP494" s="18"/>
      <c r="DH494" s="232"/>
      <c r="DI494" s="234"/>
      <c r="DJ494" s="234"/>
      <c r="DK494" s="235"/>
      <c r="DL494" s="236"/>
      <c r="DM494" s="236"/>
      <c r="DN494" s="236"/>
    </row>
    <row r="495" spans="46:118" x14ac:dyDescent="0.3">
      <c r="AT495" s="44" t="str">
        <f t="shared" si="122"/>
        <v>7_10T.LM.S</v>
      </c>
      <c r="AU495" s="18" t="s">
        <v>70</v>
      </c>
      <c r="AV495" s="18" t="s">
        <v>763</v>
      </c>
      <c r="AW495" s="20" t="s">
        <v>377</v>
      </c>
      <c r="AX495" s="228">
        <v>1220115</v>
      </c>
      <c r="AY495" s="229">
        <v>400</v>
      </c>
      <c r="BA495" s="91"/>
      <c r="CK495" s="160"/>
      <c r="CL495" s="18"/>
      <c r="CM495" s="18"/>
      <c r="CN495" s="18"/>
      <c r="CO495" s="18"/>
      <c r="CP495" s="18"/>
      <c r="DH495" s="232"/>
      <c r="DI495" s="234"/>
      <c r="DJ495" s="234"/>
      <c r="DK495" s="235"/>
      <c r="DL495" s="236"/>
      <c r="DM495" s="236"/>
      <c r="DN495" s="236"/>
    </row>
    <row r="496" spans="46:118" x14ac:dyDescent="0.3">
      <c r="AT496" s="44" t="str">
        <f t="shared" si="122"/>
        <v>7H_10T.LM.S</v>
      </c>
      <c r="AU496" s="18" t="s">
        <v>70</v>
      </c>
      <c r="AV496" s="18" t="s">
        <v>769</v>
      </c>
      <c r="AW496" s="20" t="s">
        <v>377</v>
      </c>
      <c r="AX496" s="228">
        <v>1220115</v>
      </c>
      <c r="AY496" s="229">
        <v>400</v>
      </c>
      <c r="BA496" s="91"/>
      <c r="CK496" s="160"/>
      <c r="CL496" s="18"/>
      <c r="CM496" s="18"/>
      <c r="CN496" s="18"/>
      <c r="CO496" s="18"/>
      <c r="CP496" s="18"/>
      <c r="DH496" s="232"/>
      <c r="DI496" s="234"/>
      <c r="DJ496" s="234"/>
      <c r="DK496" s="235"/>
      <c r="DL496" s="236"/>
      <c r="DM496" s="236"/>
      <c r="DN496" s="236"/>
    </row>
    <row r="497" spans="46:118" x14ac:dyDescent="0.3">
      <c r="AT497" s="44" t="str">
        <f t="shared" si="122"/>
        <v>8_10T.LM.S</v>
      </c>
      <c r="AU497" s="18" t="s">
        <v>70</v>
      </c>
      <c r="AV497" s="18" t="s">
        <v>776</v>
      </c>
      <c r="AW497" s="20" t="s">
        <v>377</v>
      </c>
      <c r="AX497" s="228">
        <v>1220115</v>
      </c>
      <c r="AY497" s="229">
        <v>400</v>
      </c>
      <c r="BA497" s="91"/>
      <c r="CK497" s="160"/>
      <c r="CL497" s="18"/>
      <c r="CM497" s="18"/>
      <c r="CN497" s="18"/>
      <c r="CO497" s="18"/>
      <c r="CP497" s="18"/>
      <c r="DH497" s="232"/>
      <c r="DI497" s="234"/>
      <c r="DJ497" s="234"/>
      <c r="DK497" s="235"/>
      <c r="DL497" s="236"/>
      <c r="DM497" s="236"/>
      <c r="DN497" s="236"/>
    </row>
    <row r="498" spans="46:118" x14ac:dyDescent="0.3">
      <c r="AT498" s="44" t="str">
        <f t="shared" si="122"/>
        <v>8_12T.LM.S</v>
      </c>
      <c r="AU498" s="18" t="s">
        <v>70</v>
      </c>
      <c r="AV498" s="18" t="s">
        <v>791</v>
      </c>
      <c r="AW498" s="20" t="s">
        <v>377</v>
      </c>
      <c r="AX498" s="228">
        <v>1220115</v>
      </c>
      <c r="AY498" s="229">
        <v>400</v>
      </c>
      <c r="BA498" s="91"/>
      <c r="CK498" s="160"/>
      <c r="CL498" s="18"/>
      <c r="CM498" s="18"/>
      <c r="CN498" s="18"/>
      <c r="CO498" s="18"/>
      <c r="CP498" s="18"/>
      <c r="DH498" s="232"/>
      <c r="DI498" s="234"/>
      <c r="DJ498" s="234"/>
      <c r="DK498" s="235"/>
      <c r="DL498" s="236"/>
      <c r="DM498" s="236"/>
      <c r="DN498" s="236"/>
    </row>
    <row r="499" spans="46:118" x14ac:dyDescent="0.3">
      <c r="AT499" s="44" t="str">
        <f t="shared" si="122"/>
        <v>8_14S.LM.S</v>
      </c>
      <c r="AU499" s="18" t="s">
        <v>70</v>
      </c>
      <c r="AV499" s="18" t="s">
        <v>1046</v>
      </c>
      <c r="AW499" s="20" t="s">
        <v>377</v>
      </c>
      <c r="AX499" s="228">
        <v>1220115</v>
      </c>
      <c r="AY499" s="229">
        <v>292</v>
      </c>
      <c r="BA499" s="91"/>
      <c r="CK499" s="160"/>
      <c r="CL499" s="18"/>
      <c r="CM499" s="18"/>
      <c r="CN499" s="18"/>
      <c r="CO499" s="18"/>
      <c r="CP499" s="18"/>
      <c r="DH499" s="232"/>
      <c r="DI499" s="234"/>
      <c r="DJ499" s="234"/>
      <c r="DK499" s="235"/>
      <c r="DL499" s="236"/>
      <c r="DM499" s="236"/>
      <c r="DN499" s="236"/>
    </row>
    <row r="500" spans="46:118" x14ac:dyDescent="0.3">
      <c r="AT500" s="44" t="str">
        <f t="shared" si="122"/>
        <v>9_10T.LM.S</v>
      </c>
      <c r="AU500" s="18" t="s">
        <v>70</v>
      </c>
      <c r="AV500" s="18" t="s">
        <v>783</v>
      </c>
      <c r="AW500" s="20" t="s">
        <v>377</v>
      </c>
      <c r="AX500" s="228">
        <v>1220115</v>
      </c>
      <c r="AY500" s="229">
        <v>400</v>
      </c>
      <c r="BA500" s="91"/>
      <c r="CK500" s="160"/>
      <c r="CL500" s="18"/>
      <c r="CM500" s="18"/>
      <c r="CN500" s="18"/>
      <c r="CO500" s="18"/>
      <c r="CP500" s="18"/>
      <c r="DH500" s="232"/>
      <c r="DI500" s="234"/>
      <c r="DJ500" s="234"/>
      <c r="DK500" s="235"/>
      <c r="DL500" s="236"/>
      <c r="DM500" s="236"/>
      <c r="DN500" s="236"/>
    </row>
    <row r="501" spans="46:118" x14ac:dyDescent="0.3">
      <c r="AT501" s="44" t="str">
        <f t="shared" si="122"/>
        <v>9_12T.LM.S</v>
      </c>
      <c r="AU501" s="18" t="s">
        <v>70</v>
      </c>
      <c r="AV501" s="18" t="s">
        <v>804</v>
      </c>
      <c r="AW501" s="20" t="s">
        <v>377</v>
      </c>
      <c r="AX501" s="228">
        <v>1220115</v>
      </c>
      <c r="AY501" s="229">
        <v>400</v>
      </c>
      <c r="BA501" s="91"/>
      <c r="CK501" s="160"/>
      <c r="CL501" s="18"/>
      <c r="CM501" s="18"/>
      <c r="CN501" s="18"/>
      <c r="CO501" s="18"/>
      <c r="CP501" s="18"/>
      <c r="DH501" s="232"/>
      <c r="DI501" s="234"/>
      <c r="DJ501" s="234"/>
      <c r="DK501" s="235"/>
      <c r="DL501" s="236"/>
      <c r="DM501" s="236"/>
      <c r="DN501" s="236"/>
    </row>
    <row r="502" spans="46:118" x14ac:dyDescent="0.3">
      <c r="AT502" s="44" t="str">
        <f t="shared" si="122"/>
        <v>9_13T.LM.S</v>
      </c>
      <c r="AU502" s="18" t="s">
        <v>70</v>
      </c>
      <c r="AV502" s="18" t="s">
        <v>837</v>
      </c>
      <c r="AW502" s="20" t="s">
        <v>377</v>
      </c>
      <c r="AX502" s="228">
        <v>1220115</v>
      </c>
      <c r="AY502" s="229">
        <v>400</v>
      </c>
      <c r="BA502" s="91"/>
      <c r="CK502" s="160"/>
      <c r="CL502" s="18"/>
      <c r="CM502" s="18"/>
      <c r="CN502" s="18"/>
      <c r="CO502" s="18"/>
      <c r="CP502" s="18"/>
      <c r="DH502" s="232"/>
      <c r="DI502" s="234"/>
      <c r="DJ502" s="234"/>
      <c r="DK502" s="235"/>
      <c r="DL502" s="236"/>
      <c r="DM502" s="236"/>
      <c r="DN502" s="236"/>
    </row>
    <row r="503" spans="46:118" x14ac:dyDescent="0.3">
      <c r="AT503" s="44" t="str">
        <f t="shared" si="122"/>
        <v>9_14T.LM.S</v>
      </c>
      <c r="AU503" s="18" t="s">
        <v>70</v>
      </c>
      <c r="AV503" s="18" t="s">
        <v>874</v>
      </c>
      <c r="AW503" s="20" t="s">
        <v>377</v>
      </c>
      <c r="AX503" s="228">
        <v>1220115</v>
      </c>
      <c r="AY503" s="229">
        <v>404</v>
      </c>
      <c r="BA503" s="91"/>
      <c r="CK503" s="160"/>
      <c r="CL503" s="18"/>
      <c r="CM503" s="18"/>
      <c r="CN503" s="18"/>
      <c r="CO503" s="18"/>
      <c r="CP503" s="18"/>
      <c r="DH503" s="232"/>
      <c r="DI503" s="234"/>
      <c r="DJ503" s="234"/>
      <c r="DK503" s="235"/>
      <c r="DL503" s="236"/>
      <c r="DM503" s="236"/>
      <c r="DN503" s="236"/>
    </row>
    <row r="504" spans="46:118" x14ac:dyDescent="0.3">
      <c r="AT504" s="44" t="str">
        <f t="shared" si="122"/>
        <v>10_12T.LM.W</v>
      </c>
      <c r="AU504" s="18" t="s">
        <v>70</v>
      </c>
      <c r="AV504" s="18" t="s">
        <v>813</v>
      </c>
      <c r="AW504" s="20" t="s">
        <v>113</v>
      </c>
      <c r="AX504" s="228">
        <v>1220115</v>
      </c>
      <c r="AY504" s="229">
        <v>0</v>
      </c>
      <c r="BA504" s="91"/>
      <c r="CK504" s="160"/>
      <c r="CL504" s="18"/>
      <c r="CM504" s="18"/>
      <c r="CN504" s="18"/>
      <c r="CO504" s="18"/>
      <c r="CP504" s="18"/>
      <c r="DH504" s="232"/>
      <c r="DI504" s="234"/>
      <c r="DJ504" s="234"/>
      <c r="DK504" s="235"/>
      <c r="DL504" s="236"/>
      <c r="DM504" s="236"/>
      <c r="DN504" s="236"/>
    </row>
    <row r="505" spans="46:118" x14ac:dyDescent="0.3">
      <c r="AT505" s="44" t="str">
        <f t="shared" si="122"/>
        <v>10_13T.LM.W</v>
      </c>
      <c r="AU505" s="18" t="s">
        <v>70</v>
      </c>
      <c r="AV505" s="18" t="s">
        <v>848</v>
      </c>
      <c r="AW505" s="20" t="s">
        <v>113</v>
      </c>
      <c r="AX505" s="228">
        <v>1220115</v>
      </c>
      <c r="AY505" s="229">
        <v>0</v>
      </c>
      <c r="BA505" s="91"/>
      <c r="CK505" s="160"/>
      <c r="CL505" s="18"/>
      <c r="CM505" s="18"/>
      <c r="CN505" s="18"/>
      <c r="CO505" s="18"/>
      <c r="CP505" s="18"/>
      <c r="DH505" s="232"/>
      <c r="DI505" s="234"/>
      <c r="DJ505" s="234"/>
      <c r="DK505" s="235"/>
      <c r="DL505" s="236"/>
      <c r="DM505" s="236"/>
      <c r="DN505" s="236"/>
    </row>
    <row r="506" spans="46:118" x14ac:dyDescent="0.3">
      <c r="AT506" s="44" t="str">
        <f t="shared" si="122"/>
        <v>10_14S.LM.W</v>
      </c>
      <c r="AU506" s="18" t="s">
        <v>70</v>
      </c>
      <c r="AV506" s="18" t="s">
        <v>1122</v>
      </c>
      <c r="AW506" s="20" t="s">
        <v>113</v>
      </c>
      <c r="AX506" s="228">
        <v>1220115</v>
      </c>
      <c r="AY506" s="229">
        <v>0</v>
      </c>
      <c r="BA506" s="91"/>
      <c r="CK506" s="160"/>
      <c r="CL506" s="18"/>
      <c r="CM506" s="18"/>
      <c r="CN506" s="18"/>
      <c r="CO506" s="18"/>
      <c r="CP506" s="18"/>
      <c r="DH506" s="232"/>
      <c r="DI506" s="234"/>
      <c r="DJ506" s="234"/>
      <c r="DK506" s="235"/>
      <c r="DL506" s="236"/>
      <c r="DM506" s="236"/>
      <c r="DN506" s="236"/>
    </row>
    <row r="507" spans="46:118" x14ac:dyDescent="0.3">
      <c r="AT507" s="44" t="str">
        <f t="shared" si="122"/>
        <v>10_14T.LM.W</v>
      </c>
      <c r="AU507" s="18" t="s">
        <v>70</v>
      </c>
      <c r="AV507" s="18" t="s">
        <v>887</v>
      </c>
      <c r="AW507" s="20" t="s">
        <v>113</v>
      </c>
      <c r="AX507" s="228">
        <v>1220115</v>
      </c>
      <c r="AY507" s="229">
        <v>0</v>
      </c>
      <c r="BA507" s="91"/>
      <c r="CK507" s="160"/>
      <c r="CL507" s="18"/>
      <c r="CM507" s="18"/>
      <c r="CN507" s="18"/>
      <c r="CO507" s="18"/>
      <c r="CP507" s="18"/>
      <c r="DH507" s="232"/>
      <c r="DI507" s="234"/>
      <c r="DJ507" s="234"/>
      <c r="DK507" s="235"/>
      <c r="DL507" s="236"/>
      <c r="DM507" s="236"/>
      <c r="DN507" s="236"/>
    </row>
    <row r="508" spans="46:118" x14ac:dyDescent="0.3">
      <c r="AT508" s="44" t="str">
        <f t="shared" si="122"/>
        <v>11_12T.LM.W</v>
      </c>
      <c r="AU508" s="18" t="s">
        <v>70</v>
      </c>
      <c r="AV508" s="18" t="s">
        <v>825</v>
      </c>
      <c r="AW508" s="20" t="s">
        <v>113</v>
      </c>
      <c r="AX508" s="228">
        <v>1220115</v>
      </c>
      <c r="AY508" s="229">
        <v>0</v>
      </c>
      <c r="BA508" s="91"/>
      <c r="CK508" s="160"/>
      <c r="CL508" s="18"/>
      <c r="CM508" s="18"/>
      <c r="CN508" s="18"/>
      <c r="CO508" s="18"/>
      <c r="CP508" s="18"/>
      <c r="DH508" s="232"/>
      <c r="DI508" s="234"/>
      <c r="DJ508" s="234"/>
      <c r="DK508" s="235"/>
      <c r="DL508" s="236"/>
      <c r="DM508" s="236"/>
      <c r="DN508" s="236"/>
    </row>
    <row r="509" spans="46:118" x14ac:dyDescent="0.3">
      <c r="AT509" s="44" t="str">
        <f t="shared" si="122"/>
        <v>11_13T.LM.W</v>
      </c>
      <c r="AU509" s="18" t="s">
        <v>70</v>
      </c>
      <c r="AV509" s="18" t="s">
        <v>857</v>
      </c>
      <c r="AW509" s="20" t="s">
        <v>113</v>
      </c>
      <c r="AX509" s="228">
        <v>1220115</v>
      </c>
      <c r="AY509" s="229">
        <v>0</v>
      </c>
      <c r="BA509" s="91"/>
      <c r="CK509" s="160"/>
      <c r="CL509" s="18"/>
      <c r="CM509" s="18"/>
      <c r="CN509" s="18"/>
      <c r="CO509" s="18"/>
      <c r="CP509" s="18"/>
      <c r="DH509" s="232"/>
      <c r="DI509" s="234"/>
      <c r="DJ509" s="234"/>
      <c r="DK509" s="235"/>
      <c r="DL509" s="236"/>
      <c r="DM509" s="236"/>
      <c r="DN509" s="236"/>
    </row>
    <row r="510" spans="46:118" x14ac:dyDescent="0.3">
      <c r="AT510" s="44" t="str">
        <f t="shared" si="122"/>
        <v>11_14T.LM.W</v>
      </c>
      <c r="AU510" s="18" t="s">
        <v>70</v>
      </c>
      <c r="AV510" s="18" t="s">
        <v>900</v>
      </c>
      <c r="AW510" s="20" t="s">
        <v>113</v>
      </c>
      <c r="AX510" s="228">
        <v>1220115</v>
      </c>
      <c r="AY510" s="229">
        <v>0</v>
      </c>
      <c r="BA510" s="91"/>
      <c r="CK510" s="160"/>
      <c r="CL510" s="18"/>
      <c r="CM510" s="18"/>
      <c r="CN510" s="18"/>
      <c r="CO510" s="18"/>
      <c r="CP510" s="18"/>
      <c r="DH510" s="232"/>
      <c r="DI510" s="234"/>
      <c r="DJ510" s="234"/>
      <c r="DK510" s="235"/>
      <c r="DL510" s="236"/>
      <c r="DM510" s="236"/>
      <c r="DN510" s="236"/>
    </row>
    <row r="511" spans="46:118" x14ac:dyDescent="0.3">
      <c r="AT511" s="44" t="str">
        <f t="shared" si="122"/>
        <v>12_13T.LM.W</v>
      </c>
      <c r="AU511" s="18" t="s">
        <v>70</v>
      </c>
      <c r="AV511" s="18" t="s">
        <v>865</v>
      </c>
      <c r="AW511" s="20" t="s">
        <v>113</v>
      </c>
      <c r="AX511" s="228">
        <v>1220115</v>
      </c>
      <c r="AY511" s="229">
        <v>0</v>
      </c>
      <c r="BA511" s="91"/>
      <c r="CK511" s="160"/>
      <c r="CL511" s="18"/>
      <c r="CM511" s="18"/>
      <c r="CN511" s="18"/>
      <c r="CO511" s="18"/>
      <c r="CP511" s="18"/>
      <c r="DH511" s="232"/>
      <c r="DI511" s="234"/>
      <c r="DJ511" s="234"/>
      <c r="DK511" s="235"/>
      <c r="DL511" s="236"/>
      <c r="DM511" s="236"/>
      <c r="DN511" s="236"/>
    </row>
    <row r="512" spans="46:118" x14ac:dyDescent="0.3">
      <c r="AT512" s="44" t="str">
        <f t="shared" si="122"/>
        <v>12_14F.LM.W</v>
      </c>
      <c r="AU512" s="18" t="s">
        <v>70</v>
      </c>
      <c r="AV512" s="18" t="s">
        <v>583</v>
      </c>
      <c r="AW512" s="20" t="s">
        <v>113</v>
      </c>
      <c r="AX512" s="228">
        <v>1220115</v>
      </c>
      <c r="AY512" s="229">
        <v>0</v>
      </c>
      <c r="BA512" s="91"/>
      <c r="CK512" s="160"/>
      <c r="CL512" s="18"/>
      <c r="CM512" s="18"/>
      <c r="CN512" s="18"/>
      <c r="CO512" s="18"/>
      <c r="CP512" s="18"/>
      <c r="DH512" s="232"/>
      <c r="DI512" s="234"/>
      <c r="DJ512" s="234"/>
      <c r="DK512" s="235"/>
      <c r="DL512" s="236"/>
      <c r="DM512" s="236"/>
      <c r="DN512" s="236"/>
    </row>
    <row r="513" spans="46:118" x14ac:dyDescent="0.3">
      <c r="AT513" s="44" t="str">
        <f t="shared" si="122"/>
        <v>12_14T.LM.W</v>
      </c>
      <c r="AU513" s="18" t="s">
        <v>70</v>
      </c>
      <c r="AV513" s="18" t="s">
        <v>913</v>
      </c>
      <c r="AW513" s="20" t="s">
        <v>113</v>
      </c>
      <c r="AX513" s="228">
        <v>1220115</v>
      </c>
      <c r="AY513" s="229">
        <v>0</v>
      </c>
      <c r="BA513" s="91"/>
      <c r="CK513" s="160"/>
      <c r="CL513" s="18"/>
      <c r="CM513" s="18"/>
      <c r="CN513" s="18"/>
      <c r="CO513" s="18"/>
      <c r="CP513" s="18"/>
      <c r="DH513" s="232"/>
      <c r="DI513" s="234"/>
      <c r="DJ513" s="234"/>
      <c r="DK513" s="235"/>
      <c r="DL513" s="236"/>
      <c r="DM513" s="236"/>
      <c r="DN513" s="236"/>
    </row>
    <row r="514" spans="46:118" x14ac:dyDescent="0.3">
      <c r="AT514" s="44" t="str">
        <f t="shared" si="122"/>
        <v>12_15T.LM.W</v>
      </c>
      <c r="AU514" s="18" t="s">
        <v>70</v>
      </c>
      <c r="AV514" s="18" t="s">
        <v>941</v>
      </c>
      <c r="AW514" s="20" t="s">
        <v>113</v>
      </c>
      <c r="AX514" s="228">
        <v>1220115</v>
      </c>
      <c r="AY514" s="229">
        <v>0</v>
      </c>
      <c r="BA514" s="91"/>
      <c r="CK514" s="160"/>
      <c r="CL514" s="18"/>
      <c r="CM514" s="18"/>
      <c r="CN514" s="18"/>
      <c r="CO514" s="18"/>
      <c r="CP514" s="18"/>
      <c r="DH514" s="232"/>
      <c r="DI514" s="234"/>
      <c r="DJ514" s="234"/>
      <c r="DK514" s="235"/>
      <c r="DL514" s="236"/>
      <c r="DM514" s="236"/>
      <c r="DN514" s="236"/>
    </row>
    <row r="515" spans="46:118" x14ac:dyDescent="0.3">
      <c r="AT515" s="44" t="str">
        <f t="shared" si="122"/>
        <v>12_18B.LM.W</v>
      </c>
      <c r="AU515" s="18" t="s">
        <v>70</v>
      </c>
      <c r="AV515" s="18" t="s">
        <v>133</v>
      </c>
      <c r="AW515" s="20" t="s">
        <v>113</v>
      </c>
      <c r="AX515" s="228">
        <v>1220115</v>
      </c>
      <c r="AY515" s="229">
        <v>0</v>
      </c>
      <c r="BA515" s="91"/>
      <c r="CK515" s="160"/>
      <c r="CL515" s="18"/>
      <c r="CM515" s="18"/>
      <c r="CN515" s="18"/>
      <c r="CO515" s="18"/>
      <c r="CP515" s="18"/>
      <c r="DH515" s="232"/>
      <c r="DI515" s="234"/>
      <c r="DJ515" s="234"/>
      <c r="DK515" s="235"/>
      <c r="DL515" s="236"/>
      <c r="DM515" s="236"/>
      <c r="DN515" s="236"/>
    </row>
    <row r="516" spans="46:118" x14ac:dyDescent="0.3">
      <c r="AT516" s="44" t="str">
        <f t="shared" si="122"/>
        <v>12_20B.LM.W</v>
      </c>
      <c r="AU516" s="18" t="s">
        <v>70</v>
      </c>
      <c r="AV516" s="18" t="s">
        <v>217</v>
      </c>
      <c r="AW516" s="20" t="s">
        <v>113</v>
      </c>
      <c r="AX516" s="228">
        <v>1220115</v>
      </c>
      <c r="AY516" s="229">
        <v>0</v>
      </c>
      <c r="BA516" s="91"/>
      <c r="CK516" s="160"/>
      <c r="CL516" s="18"/>
      <c r="CM516" s="18"/>
      <c r="CN516" s="18"/>
      <c r="CO516" s="18"/>
      <c r="CP516" s="18"/>
      <c r="DH516" s="232"/>
      <c r="DI516" s="234"/>
      <c r="DJ516" s="234"/>
      <c r="DK516" s="235"/>
      <c r="DL516" s="236"/>
      <c r="DM516" s="236"/>
      <c r="DN516" s="236"/>
    </row>
    <row r="517" spans="46:118" x14ac:dyDescent="0.3">
      <c r="AT517" s="44" t="str">
        <f t="shared" si="122"/>
        <v>12_22B.LM.W</v>
      </c>
      <c r="AU517" s="18" t="s">
        <v>70</v>
      </c>
      <c r="AV517" s="18" t="s">
        <v>330</v>
      </c>
      <c r="AW517" s="20" t="s">
        <v>113</v>
      </c>
      <c r="AX517" s="228">
        <v>1220115</v>
      </c>
      <c r="AY517" s="229">
        <v>0</v>
      </c>
      <c r="BA517" s="91"/>
      <c r="CK517" s="160"/>
      <c r="CL517" s="18"/>
      <c r="CM517" s="18"/>
      <c r="CN517" s="18"/>
      <c r="CO517" s="18"/>
      <c r="CP517" s="18"/>
      <c r="DH517" s="232"/>
      <c r="DI517" s="234"/>
      <c r="DJ517" s="234"/>
      <c r="DK517" s="235"/>
      <c r="DL517" s="236"/>
      <c r="DM517" s="236"/>
      <c r="DN517" s="236"/>
    </row>
    <row r="518" spans="46:118" x14ac:dyDescent="0.3">
      <c r="AT518" s="44" t="str">
        <f t="shared" si="122"/>
        <v>12_24B.LM.W</v>
      </c>
      <c r="AU518" s="18" t="s">
        <v>70</v>
      </c>
      <c r="AV518" s="18" t="s">
        <v>413</v>
      </c>
      <c r="AW518" s="20" t="s">
        <v>113</v>
      </c>
      <c r="AX518" s="228">
        <v>1220115</v>
      </c>
      <c r="AY518" s="229">
        <v>0</v>
      </c>
      <c r="BA518" s="91"/>
      <c r="CK518" s="160"/>
      <c r="CL518" s="18"/>
      <c r="CM518" s="18"/>
      <c r="CN518" s="18"/>
      <c r="CO518" s="18"/>
      <c r="CP518" s="18"/>
      <c r="DH518" s="232"/>
      <c r="DI518" s="234"/>
      <c r="DJ518" s="234"/>
      <c r="DK518" s="235"/>
      <c r="DL518" s="236"/>
      <c r="DM518" s="236"/>
      <c r="DN518" s="236"/>
    </row>
    <row r="519" spans="46:118" x14ac:dyDescent="0.3">
      <c r="AT519" s="44" t="str">
        <f t="shared" si="122"/>
        <v>12_26B.LM.W</v>
      </c>
      <c r="AU519" s="18" t="s">
        <v>70</v>
      </c>
      <c r="AV519" s="18" t="s">
        <v>494</v>
      </c>
      <c r="AW519" s="20" t="s">
        <v>113</v>
      </c>
      <c r="AX519" s="228">
        <v>1220115</v>
      </c>
      <c r="AY519" s="229">
        <v>0</v>
      </c>
      <c r="BA519" s="91"/>
      <c r="CK519" s="160"/>
      <c r="CL519" s="18"/>
      <c r="CM519" s="18"/>
      <c r="CN519" s="18"/>
      <c r="CO519" s="18"/>
      <c r="CP519" s="18"/>
      <c r="DH519" s="232"/>
      <c r="DI519" s="234"/>
      <c r="DJ519" s="234"/>
      <c r="DK519" s="235"/>
      <c r="DL519" s="236"/>
      <c r="DM519" s="236"/>
      <c r="DN519" s="236"/>
    </row>
    <row r="520" spans="46:118" x14ac:dyDescent="0.3">
      <c r="AT520" s="44" t="str">
        <f t="shared" si="122"/>
        <v>13_14F.LM.W</v>
      </c>
      <c r="AU520" s="18" t="s">
        <v>70</v>
      </c>
      <c r="AV520" s="18" t="s">
        <v>602</v>
      </c>
      <c r="AW520" s="20" t="s">
        <v>113</v>
      </c>
      <c r="AX520" s="228">
        <v>1220115</v>
      </c>
      <c r="AY520" s="229">
        <v>0</v>
      </c>
      <c r="BA520" s="91"/>
      <c r="CK520" s="160"/>
      <c r="CL520" s="18"/>
      <c r="CM520" s="18"/>
      <c r="CN520" s="18"/>
      <c r="CO520" s="18"/>
      <c r="CP520" s="18"/>
      <c r="DH520" s="232"/>
      <c r="DI520" s="234"/>
      <c r="DJ520" s="234"/>
      <c r="DK520" s="235"/>
      <c r="DL520" s="236"/>
      <c r="DM520" s="236"/>
      <c r="DN520" s="236"/>
    </row>
    <row r="521" spans="46:118" x14ac:dyDescent="0.3">
      <c r="AT521" s="44" t="str">
        <f t="shared" si="122"/>
        <v>13_14T.LM.W</v>
      </c>
      <c r="AU521" s="18" t="s">
        <v>70</v>
      </c>
      <c r="AV521" s="18" t="s">
        <v>926</v>
      </c>
      <c r="AW521" s="20" t="s">
        <v>113</v>
      </c>
      <c r="AX521" s="228">
        <v>1220115</v>
      </c>
      <c r="AY521" s="229">
        <v>0</v>
      </c>
      <c r="BA521" s="91"/>
      <c r="CK521" s="160"/>
      <c r="CL521" s="18"/>
      <c r="CM521" s="18"/>
      <c r="CN521" s="18"/>
      <c r="CO521" s="18"/>
      <c r="CP521" s="18"/>
      <c r="DH521" s="232"/>
      <c r="DI521" s="234"/>
      <c r="DJ521" s="234"/>
      <c r="DK521" s="235"/>
      <c r="DL521" s="236"/>
      <c r="DM521" s="236"/>
      <c r="DN521" s="236"/>
    </row>
    <row r="522" spans="46:118" x14ac:dyDescent="0.3">
      <c r="AT522" s="44" t="str">
        <f t="shared" si="122"/>
        <v>13_15F.LM.W</v>
      </c>
      <c r="AU522" s="18" t="s">
        <v>70</v>
      </c>
      <c r="AV522" s="18" t="s">
        <v>630</v>
      </c>
      <c r="AW522" s="20" t="s">
        <v>113</v>
      </c>
      <c r="AX522" s="228">
        <v>1220115</v>
      </c>
      <c r="AY522" s="229">
        <v>0</v>
      </c>
      <c r="BA522" s="91"/>
      <c r="CK522" s="160"/>
      <c r="CL522" s="18"/>
      <c r="CM522" s="18"/>
      <c r="CN522" s="18"/>
      <c r="CO522" s="18"/>
      <c r="CP522" s="18"/>
      <c r="DH522" s="232"/>
      <c r="DI522" s="234"/>
      <c r="DJ522" s="234"/>
      <c r="DK522" s="235"/>
      <c r="DL522" s="236"/>
      <c r="DM522" s="236"/>
      <c r="DN522" s="236"/>
    </row>
    <row r="523" spans="46:118" x14ac:dyDescent="0.3">
      <c r="AT523" s="44" t="str">
        <f t="shared" si="122"/>
        <v>13_15T.LM.W</v>
      </c>
      <c r="AU523" s="18" t="s">
        <v>70</v>
      </c>
      <c r="AV523" s="18" t="s">
        <v>949</v>
      </c>
      <c r="AW523" s="20" t="s">
        <v>113</v>
      </c>
      <c r="AX523" s="228">
        <v>1220115</v>
      </c>
      <c r="AY523" s="229">
        <v>0</v>
      </c>
      <c r="BA523" s="91"/>
      <c r="CK523" s="160"/>
      <c r="CL523" s="18"/>
      <c r="CM523" s="18"/>
      <c r="CN523" s="18"/>
      <c r="CO523" s="18"/>
      <c r="CP523" s="18"/>
      <c r="DH523" s="232"/>
      <c r="DI523" s="234"/>
      <c r="DJ523" s="234"/>
      <c r="DK523" s="235"/>
      <c r="DL523" s="236"/>
      <c r="DM523" s="236"/>
      <c r="DN523" s="236"/>
    </row>
    <row r="524" spans="46:118" x14ac:dyDescent="0.3">
      <c r="AT524" s="44" t="str">
        <f t="shared" si="122"/>
        <v>13_16F.LM.W</v>
      </c>
      <c r="AU524" s="18" t="s">
        <v>70</v>
      </c>
      <c r="AV524" s="18" t="s">
        <v>665</v>
      </c>
      <c r="AW524" s="20" t="s">
        <v>113</v>
      </c>
      <c r="AX524" s="228">
        <v>1220115</v>
      </c>
      <c r="AY524" s="229">
        <v>0</v>
      </c>
      <c r="BA524" s="91"/>
      <c r="CK524" s="160"/>
      <c r="CL524" s="18"/>
      <c r="CM524" s="18"/>
      <c r="CN524" s="18"/>
      <c r="CO524" s="18"/>
      <c r="CP524" s="18"/>
      <c r="DH524" s="232"/>
      <c r="DI524" s="234"/>
      <c r="DJ524" s="234"/>
      <c r="DK524" s="235"/>
      <c r="DL524" s="236"/>
      <c r="DM524" s="236"/>
      <c r="DN524" s="236"/>
    </row>
    <row r="525" spans="46:118" x14ac:dyDescent="0.3">
      <c r="AT525" s="44" t="str">
        <f t="shared" si="122"/>
        <v>13_16T.LM.W</v>
      </c>
      <c r="AU525" s="18" t="s">
        <v>70</v>
      </c>
      <c r="AV525" s="18" t="s">
        <v>963</v>
      </c>
      <c r="AW525" s="20" t="s">
        <v>113</v>
      </c>
      <c r="AX525" s="228">
        <v>1220115</v>
      </c>
      <c r="AY525" s="229">
        <v>0</v>
      </c>
      <c r="BA525" s="91"/>
      <c r="CK525" s="160"/>
      <c r="CL525" s="18"/>
      <c r="CM525" s="18"/>
      <c r="CN525" s="18"/>
      <c r="CO525" s="18"/>
      <c r="CP525" s="18"/>
      <c r="DH525" s="232"/>
      <c r="DI525" s="234"/>
      <c r="DJ525" s="234"/>
      <c r="DK525" s="235"/>
      <c r="DL525" s="236"/>
      <c r="DM525" s="236"/>
      <c r="DN525" s="236"/>
    </row>
    <row r="526" spans="46:118" x14ac:dyDescent="0.3">
      <c r="AT526" s="44" t="str">
        <f t="shared" si="122"/>
        <v>14_14F.LM.W</v>
      </c>
      <c r="AU526" s="18" t="s">
        <v>70</v>
      </c>
      <c r="AV526" s="18" t="s">
        <v>616</v>
      </c>
      <c r="AW526" s="20" t="s">
        <v>113</v>
      </c>
      <c r="AX526" s="228">
        <v>1220115</v>
      </c>
      <c r="AY526" s="229">
        <v>0</v>
      </c>
      <c r="BA526" s="91"/>
      <c r="CK526" s="160"/>
      <c r="CL526" s="18"/>
      <c r="CM526" s="18"/>
      <c r="CN526" s="18"/>
      <c r="CO526" s="18"/>
      <c r="CP526" s="18"/>
      <c r="DH526" s="232"/>
      <c r="DI526" s="234"/>
      <c r="DJ526" s="234"/>
      <c r="DK526" s="235"/>
      <c r="DL526" s="236"/>
      <c r="DM526" s="236"/>
      <c r="DN526" s="236"/>
    </row>
    <row r="527" spans="46:118" x14ac:dyDescent="0.3">
      <c r="AT527" s="44" t="str">
        <f t="shared" si="122"/>
        <v>14_14T.LM.W</v>
      </c>
      <c r="AU527" s="18" t="s">
        <v>70</v>
      </c>
      <c r="AV527" s="18" t="s">
        <v>933</v>
      </c>
      <c r="AW527" s="20" t="s">
        <v>113</v>
      </c>
      <c r="AX527" s="228">
        <v>1220115</v>
      </c>
      <c r="AY527" s="229">
        <v>0</v>
      </c>
      <c r="BA527" s="91"/>
      <c r="CK527" s="160"/>
      <c r="CL527" s="18"/>
      <c r="CM527" s="18"/>
      <c r="CN527" s="18"/>
      <c r="CO527" s="18"/>
      <c r="CP527" s="18"/>
      <c r="DH527" s="232"/>
      <c r="DI527" s="234"/>
      <c r="DJ527" s="234"/>
      <c r="DK527" s="235"/>
      <c r="DL527" s="236"/>
      <c r="DM527" s="236"/>
      <c r="DN527" s="236"/>
    </row>
    <row r="528" spans="46:118" x14ac:dyDescent="0.3">
      <c r="AT528" s="44" t="str">
        <f t="shared" si="122"/>
        <v>14_15F.LM.W</v>
      </c>
      <c r="AU528" s="18" t="s">
        <v>70</v>
      </c>
      <c r="AV528" s="18" t="s">
        <v>647</v>
      </c>
      <c r="AW528" s="20" t="s">
        <v>113</v>
      </c>
      <c r="AX528" s="228">
        <v>1220115</v>
      </c>
      <c r="AY528" s="229">
        <v>0</v>
      </c>
      <c r="BA528" s="91"/>
      <c r="CK528" s="160"/>
      <c r="CL528" s="18"/>
      <c r="CM528" s="18"/>
      <c r="CN528" s="18"/>
      <c r="CO528" s="18"/>
      <c r="CP528" s="18"/>
      <c r="DH528" s="232"/>
      <c r="DI528" s="234"/>
      <c r="DJ528" s="234"/>
      <c r="DK528" s="235"/>
      <c r="DL528" s="236"/>
      <c r="DM528" s="236"/>
      <c r="DN528" s="236"/>
    </row>
    <row r="529" spans="46:118" x14ac:dyDescent="0.3">
      <c r="AT529" s="44" t="str">
        <f t="shared" si="122"/>
        <v>14_15T.LM.W</v>
      </c>
      <c r="AU529" s="18" t="s">
        <v>70</v>
      </c>
      <c r="AV529" s="18" t="s">
        <v>956</v>
      </c>
      <c r="AW529" s="20" t="s">
        <v>113</v>
      </c>
      <c r="AX529" s="228">
        <v>1220115</v>
      </c>
      <c r="AY529" s="229">
        <v>0</v>
      </c>
      <c r="BA529" s="91"/>
      <c r="CK529" s="160"/>
      <c r="CL529" s="18"/>
      <c r="CM529" s="18"/>
      <c r="CN529" s="18"/>
      <c r="CO529" s="18"/>
      <c r="CP529" s="18"/>
      <c r="DH529" s="232"/>
      <c r="DI529" s="234"/>
      <c r="DJ529" s="234"/>
      <c r="DK529" s="235"/>
      <c r="DL529" s="236"/>
      <c r="DM529" s="236"/>
      <c r="DN529" s="236"/>
    </row>
    <row r="530" spans="46:118" x14ac:dyDescent="0.3">
      <c r="AT530" s="44" t="str">
        <f t="shared" si="122"/>
        <v>14_16F.LM.W</v>
      </c>
      <c r="AU530" s="18" t="s">
        <v>70</v>
      </c>
      <c r="AV530" s="18" t="s">
        <v>681</v>
      </c>
      <c r="AW530" s="20" t="s">
        <v>113</v>
      </c>
      <c r="AX530" s="228">
        <v>1220115</v>
      </c>
      <c r="AY530" s="229">
        <v>0</v>
      </c>
      <c r="BA530" s="91"/>
      <c r="CK530" s="160"/>
      <c r="CL530" s="18"/>
      <c r="CM530" s="18"/>
      <c r="CN530" s="18"/>
      <c r="CO530" s="18"/>
      <c r="CP530" s="18"/>
      <c r="DH530" s="232"/>
      <c r="DI530" s="234"/>
      <c r="DJ530" s="234"/>
      <c r="DK530" s="235"/>
      <c r="DL530" s="236"/>
      <c r="DM530" s="236"/>
      <c r="DN530" s="236"/>
    </row>
    <row r="531" spans="46:118" x14ac:dyDescent="0.3">
      <c r="AT531" s="44" t="str">
        <f t="shared" ref="AT531:AT594" si="123">CONCATENATE(AV531,".",AU531,".",AW531)</f>
        <v>14_16T.LM.W</v>
      </c>
      <c r="AU531" s="18" t="s">
        <v>70</v>
      </c>
      <c r="AV531" s="18" t="s">
        <v>970</v>
      </c>
      <c r="AW531" s="20" t="s">
        <v>113</v>
      </c>
      <c r="AX531" s="228">
        <v>1220115</v>
      </c>
      <c r="AY531" s="229">
        <v>0</v>
      </c>
      <c r="BA531" s="91"/>
      <c r="CK531" s="160"/>
      <c r="CL531" s="18"/>
      <c r="CM531" s="18"/>
      <c r="CN531" s="18"/>
      <c r="CO531" s="18"/>
      <c r="CP531" s="18"/>
      <c r="DH531" s="232"/>
      <c r="DI531" s="234"/>
      <c r="DJ531" s="234"/>
      <c r="DK531" s="235"/>
      <c r="DL531" s="236"/>
      <c r="DM531" s="236"/>
      <c r="DN531" s="236"/>
    </row>
    <row r="532" spans="46:118" x14ac:dyDescent="0.3">
      <c r="AT532" s="44" t="str">
        <f t="shared" si="123"/>
        <v>14_18B.LM.W</v>
      </c>
      <c r="AU532" s="18" t="s">
        <v>70</v>
      </c>
      <c r="AV532" s="18" t="s">
        <v>160</v>
      </c>
      <c r="AW532" s="20" t="s">
        <v>113</v>
      </c>
      <c r="AX532" s="228">
        <v>1220115</v>
      </c>
      <c r="AY532" s="229">
        <v>0</v>
      </c>
      <c r="BA532" s="91"/>
      <c r="CK532" s="160"/>
      <c r="CL532" s="18"/>
      <c r="CM532" s="18"/>
      <c r="CN532" s="18"/>
      <c r="CO532" s="18"/>
      <c r="CP532" s="18"/>
      <c r="DH532" s="232"/>
      <c r="DI532" s="234"/>
      <c r="DJ532" s="234"/>
      <c r="DK532" s="235"/>
      <c r="DL532" s="236"/>
      <c r="DM532" s="236"/>
      <c r="DN532" s="236"/>
    </row>
    <row r="533" spans="46:118" x14ac:dyDescent="0.3">
      <c r="AT533" s="44" t="str">
        <f t="shared" si="123"/>
        <v>14_20B.LM.W</v>
      </c>
      <c r="AU533" s="18" t="s">
        <v>70</v>
      </c>
      <c r="AV533" s="18" t="s">
        <v>253</v>
      </c>
      <c r="AW533" s="20" t="s">
        <v>113</v>
      </c>
      <c r="AX533" s="228">
        <v>1220115</v>
      </c>
      <c r="AY533" s="229">
        <v>0</v>
      </c>
      <c r="BA533" s="91"/>
      <c r="CK533" s="160"/>
      <c r="CL533" s="18"/>
      <c r="CM533" s="18"/>
      <c r="CN533" s="18"/>
      <c r="CO533" s="18"/>
      <c r="CP533" s="18"/>
      <c r="DH533" s="232"/>
      <c r="DI533" s="234"/>
      <c r="DJ533" s="234"/>
      <c r="DK533" s="235"/>
      <c r="DL533" s="236"/>
      <c r="DM533" s="236"/>
      <c r="DN533" s="236"/>
    </row>
    <row r="534" spans="46:118" x14ac:dyDescent="0.3">
      <c r="AT534" s="44" t="str">
        <f t="shared" si="123"/>
        <v>14_22B.LM.W</v>
      </c>
      <c r="AU534" s="18" t="s">
        <v>70</v>
      </c>
      <c r="AV534" s="18" t="s">
        <v>346</v>
      </c>
      <c r="AW534" s="20" t="s">
        <v>113</v>
      </c>
      <c r="AX534" s="228">
        <v>1220115</v>
      </c>
      <c r="AY534" s="229">
        <v>0</v>
      </c>
      <c r="BA534" s="91"/>
      <c r="CK534" s="160"/>
      <c r="CL534" s="18"/>
      <c r="CM534" s="18"/>
      <c r="CN534" s="18"/>
      <c r="CO534" s="18"/>
      <c r="CP534" s="18"/>
      <c r="DH534" s="232"/>
      <c r="DI534" s="234"/>
      <c r="DJ534" s="234"/>
      <c r="DK534" s="235"/>
      <c r="DL534" s="236"/>
      <c r="DM534" s="236"/>
      <c r="DN534" s="236"/>
    </row>
    <row r="535" spans="46:118" x14ac:dyDescent="0.3">
      <c r="AT535" s="44" t="str">
        <f t="shared" si="123"/>
        <v>14_24B.LM.W</v>
      </c>
      <c r="AU535" s="18" t="s">
        <v>70</v>
      </c>
      <c r="AV535" s="18" t="s">
        <v>428</v>
      </c>
      <c r="AW535" s="20" t="s">
        <v>113</v>
      </c>
      <c r="AX535" s="228">
        <v>1220115</v>
      </c>
      <c r="AY535" s="229">
        <v>0</v>
      </c>
      <c r="BA535" s="91"/>
      <c r="CK535" s="160"/>
      <c r="CL535" s="18"/>
      <c r="CM535" s="18"/>
      <c r="CN535" s="18"/>
      <c r="CO535" s="18"/>
      <c r="CP535" s="18"/>
      <c r="DH535" s="232"/>
      <c r="DI535" s="234"/>
      <c r="DJ535" s="234"/>
      <c r="DK535" s="235"/>
      <c r="DL535" s="236"/>
      <c r="DM535" s="236"/>
      <c r="DN535" s="236"/>
    </row>
    <row r="536" spans="46:118" x14ac:dyDescent="0.3">
      <c r="AT536" s="44" t="str">
        <f t="shared" si="123"/>
        <v>14_26B.LM.W</v>
      </c>
      <c r="AU536" s="18" t="s">
        <v>70</v>
      </c>
      <c r="AV536" s="18" t="s">
        <v>512</v>
      </c>
      <c r="AW536" s="20" t="s">
        <v>113</v>
      </c>
      <c r="AX536" s="228">
        <v>1220115</v>
      </c>
      <c r="AY536" s="229">
        <v>0</v>
      </c>
      <c r="BA536" s="91"/>
      <c r="CK536" s="160"/>
      <c r="CL536" s="18"/>
      <c r="CM536" s="18"/>
      <c r="CN536" s="18"/>
      <c r="CO536" s="18"/>
      <c r="CP536" s="18"/>
      <c r="DH536" s="232"/>
      <c r="DI536" s="234"/>
      <c r="DJ536" s="234"/>
      <c r="DK536" s="235"/>
      <c r="DL536" s="236"/>
      <c r="DM536" s="236"/>
      <c r="DN536" s="236"/>
    </row>
    <row r="537" spans="46:118" x14ac:dyDescent="0.3">
      <c r="AT537" s="44" t="str">
        <f t="shared" si="123"/>
        <v>15_16F.LM.W</v>
      </c>
      <c r="AU537" s="18" t="s">
        <v>70</v>
      </c>
      <c r="AV537" s="18" t="s">
        <v>698</v>
      </c>
      <c r="AW537" s="20" t="s">
        <v>113</v>
      </c>
      <c r="AX537" s="228">
        <v>1220115</v>
      </c>
      <c r="AY537" s="229">
        <v>0</v>
      </c>
      <c r="BA537" s="91"/>
      <c r="CK537" s="160"/>
      <c r="CL537" s="18"/>
      <c r="CM537" s="18"/>
      <c r="CN537" s="18"/>
      <c r="CO537" s="18"/>
      <c r="CP537" s="18"/>
      <c r="DH537" s="232"/>
      <c r="DI537" s="234"/>
      <c r="DJ537" s="234"/>
      <c r="DK537" s="235"/>
      <c r="DL537" s="236"/>
      <c r="DM537" s="236"/>
      <c r="DN537" s="236"/>
    </row>
    <row r="538" spans="46:118" x14ac:dyDescent="0.3">
      <c r="AT538" s="44" t="str">
        <f t="shared" si="123"/>
        <v>15_16T.LM.W</v>
      </c>
      <c r="AU538" s="18" t="s">
        <v>70</v>
      </c>
      <c r="AV538" s="18" t="s">
        <v>977</v>
      </c>
      <c r="AW538" s="20" t="s">
        <v>113</v>
      </c>
      <c r="AX538" s="228">
        <v>1220115</v>
      </c>
      <c r="AY538" s="229">
        <v>0</v>
      </c>
      <c r="BA538" s="91"/>
      <c r="CK538" s="160"/>
      <c r="CL538" s="18"/>
      <c r="CM538" s="18"/>
      <c r="CN538" s="18"/>
      <c r="CO538" s="18"/>
      <c r="CP538" s="18"/>
      <c r="DH538" s="232"/>
      <c r="DI538" s="234"/>
      <c r="DJ538" s="234"/>
      <c r="DK538" s="235"/>
      <c r="DL538" s="236"/>
      <c r="DM538" s="236"/>
      <c r="DN538" s="236"/>
    </row>
    <row r="539" spans="46:118" x14ac:dyDescent="0.3">
      <c r="AT539" s="44" t="str">
        <f t="shared" si="123"/>
        <v>16_16F.LM.W</v>
      </c>
      <c r="AU539" s="18" t="s">
        <v>70</v>
      </c>
      <c r="AV539" s="18" t="s">
        <v>714</v>
      </c>
      <c r="AW539" s="20" t="s">
        <v>113</v>
      </c>
      <c r="AX539" s="228">
        <v>1220115</v>
      </c>
      <c r="AY539" s="229">
        <v>0</v>
      </c>
      <c r="BA539" s="91"/>
      <c r="CK539" s="160"/>
      <c r="CL539" s="18"/>
      <c r="CM539" s="18"/>
      <c r="CN539" s="18"/>
      <c r="CO539" s="18"/>
      <c r="CP539" s="18"/>
      <c r="DH539" s="232"/>
      <c r="DI539" s="234"/>
      <c r="DJ539" s="234"/>
      <c r="DK539" s="235"/>
      <c r="DL539" s="236"/>
      <c r="DM539" s="236"/>
      <c r="DN539" s="236"/>
    </row>
    <row r="540" spans="46:118" x14ac:dyDescent="0.3">
      <c r="AT540" s="44" t="str">
        <f t="shared" si="123"/>
        <v>16_16T.LM.W</v>
      </c>
      <c r="AU540" s="18" t="s">
        <v>70</v>
      </c>
      <c r="AV540" s="18" t="s">
        <v>985</v>
      </c>
      <c r="AW540" s="20" t="s">
        <v>113</v>
      </c>
      <c r="AX540" s="228">
        <v>1220115</v>
      </c>
      <c r="AY540" s="229">
        <v>0</v>
      </c>
      <c r="BA540" s="91"/>
      <c r="CK540" s="160"/>
      <c r="CL540" s="18"/>
      <c r="CM540" s="18"/>
      <c r="CN540" s="18"/>
      <c r="CO540" s="18"/>
      <c r="CP540" s="18"/>
      <c r="DH540" s="232"/>
      <c r="DI540" s="234"/>
      <c r="DJ540" s="234"/>
      <c r="DK540" s="235"/>
      <c r="DL540" s="236"/>
      <c r="DM540" s="236"/>
      <c r="DN540" s="236"/>
    </row>
    <row r="541" spans="46:118" x14ac:dyDescent="0.3">
      <c r="AT541" s="44" t="str">
        <f t="shared" si="123"/>
        <v>16_18B.LM.W</v>
      </c>
      <c r="AU541" s="18" t="s">
        <v>70</v>
      </c>
      <c r="AV541" s="18" t="s">
        <v>186</v>
      </c>
      <c r="AW541" s="20" t="s">
        <v>113</v>
      </c>
      <c r="AX541" s="228">
        <v>1220115</v>
      </c>
      <c r="AY541" s="229">
        <v>0</v>
      </c>
      <c r="BA541" s="91"/>
      <c r="CK541" s="160"/>
      <c r="CL541" s="18"/>
      <c r="CM541" s="18"/>
      <c r="CN541" s="18"/>
      <c r="CO541" s="18"/>
      <c r="CP541" s="18"/>
      <c r="DH541" s="232"/>
      <c r="DI541" s="234"/>
      <c r="DJ541" s="234"/>
      <c r="DK541" s="235"/>
      <c r="DL541" s="236"/>
      <c r="DM541" s="236"/>
      <c r="DN541" s="236"/>
    </row>
    <row r="542" spans="46:118" x14ac:dyDescent="0.3">
      <c r="AT542" s="44" t="str">
        <f t="shared" si="123"/>
        <v>16_18F.LM.W</v>
      </c>
      <c r="AU542" s="18" t="s">
        <v>70</v>
      </c>
      <c r="AV542" s="18" t="s">
        <v>726</v>
      </c>
      <c r="AW542" s="20" t="s">
        <v>113</v>
      </c>
      <c r="AX542" s="228">
        <v>1220115</v>
      </c>
      <c r="AY542" s="229">
        <v>0</v>
      </c>
      <c r="BA542" s="91"/>
      <c r="CK542" s="160"/>
      <c r="CL542" s="18"/>
      <c r="CM542" s="18"/>
      <c r="CN542" s="18"/>
      <c r="CO542" s="18"/>
      <c r="CP542" s="18"/>
      <c r="DH542" s="232"/>
      <c r="DI542" s="234"/>
      <c r="DJ542" s="234"/>
      <c r="DK542" s="235"/>
      <c r="DL542" s="236"/>
      <c r="DM542" s="236"/>
      <c r="DN542" s="236"/>
    </row>
    <row r="543" spans="46:118" x14ac:dyDescent="0.3">
      <c r="AT543" s="44" t="str">
        <f t="shared" si="123"/>
        <v>16_20B.LM.W</v>
      </c>
      <c r="AU543" s="18" t="s">
        <v>70</v>
      </c>
      <c r="AV543" s="18" t="s">
        <v>293</v>
      </c>
      <c r="AW543" s="20" t="s">
        <v>113</v>
      </c>
      <c r="AX543" s="228">
        <v>1220115</v>
      </c>
      <c r="AY543" s="229">
        <v>0</v>
      </c>
      <c r="BA543" s="91"/>
      <c r="CK543" s="160"/>
      <c r="CL543" s="18"/>
      <c r="CM543" s="18"/>
      <c r="CN543" s="18"/>
      <c r="CO543" s="18"/>
      <c r="CP543" s="18"/>
      <c r="DH543" s="232"/>
      <c r="DI543" s="234"/>
      <c r="DJ543" s="234"/>
      <c r="DK543" s="235"/>
      <c r="DL543" s="236"/>
      <c r="DM543" s="236"/>
      <c r="DN543" s="236"/>
    </row>
    <row r="544" spans="46:118" x14ac:dyDescent="0.3">
      <c r="AT544" s="44" t="str">
        <f t="shared" si="123"/>
        <v>16_22B.LM.W</v>
      </c>
      <c r="AU544" s="18" t="s">
        <v>70</v>
      </c>
      <c r="AV544" s="18" t="s">
        <v>365</v>
      </c>
      <c r="AW544" s="20" t="s">
        <v>113</v>
      </c>
      <c r="AX544" s="228">
        <v>1220115</v>
      </c>
      <c r="AY544" s="229">
        <v>0</v>
      </c>
      <c r="BA544" s="91"/>
      <c r="CK544" s="160"/>
      <c r="CL544" s="18"/>
      <c r="CM544" s="18"/>
      <c r="CN544" s="18"/>
      <c r="CO544" s="18"/>
      <c r="CP544" s="18"/>
      <c r="DH544" s="232"/>
      <c r="DI544" s="234"/>
      <c r="DJ544" s="234"/>
      <c r="DK544" s="235"/>
      <c r="DL544" s="236"/>
      <c r="DM544" s="236"/>
      <c r="DN544" s="236"/>
    </row>
    <row r="545" spans="46:118" x14ac:dyDescent="0.3">
      <c r="AT545" s="44" t="str">
        <f t="shared" si="123"/>
        <v>16_24B.LM.W</v>
      </c>
      <c r="AU545" s="18" t="s">
        <v>70</v>
      </c>
      <c r="AV545" s="18" t="s">
        <v>444</v>
      </c>
      <c r="AW545" s="20" t="s">
        <v>113</v>
      </c>
      <c r="AX545" s="228">
        <v>1220115</v>
      </c>
      <c r="AY545" s="229">
        <v>0</v>
      </c>
      <c r="BA545" s="91"/>
      <c r="CK545" s="160"/>
      <c r="CL545" s="18"/>
      <c r="CM545" s="18"/>
      <c r="CN545" s="18"/>
      <c r="CO545" s="18"/>
      <c r="CP545" s="18"/>
      <c r="DH545" s="232"/>
      <c r="DI545" s="234"/>
      <c r="DJ545" s="234"/>
      <c r="DK545" s="235"/>
      <c r="DL545" s="236"/>
      <c r="DM545" s="236"/>
      <c r="DN545" s="236"/>
    </row>
    <row r="546" spans="46:118" x14ac:dyDescent="0.3">
      <c r="AT546" s="44" t="str">
        <f t="shared" si="123"/>
        <v>16_26B.LM.W</v>
      </c>
      <c r="AU546" s="18" t="s">
        <v>70</v>
      </c>
      <c r="AV546" s="18" t="s">
        <v>532</v>
      </c>
      <c r="AW546" s="20" t="s">
        <v>113</v>
      </c>
      <c r="AX546" s="228">
        <v>1220115</v>
      </c>
      <c r="AY546" s="229">
        <v>0</v>
      </c>
      <c r="BA546" s="91"/>
      <c r="CK546" s="160"/>
      <c r="CL546" s="18"/>
      <c r="CM546" s="18"/>
      <c r="CN546" s="18"/>
      <c r="CO546" s="18"/>
      <c r="CP546" s="18"/>
      <c r="DH546" s="232"/>
      <c r="DI546" s="234"/>
      <c r="DJ546" s="234"/>
      <c r="DK546" s="235"/>
      <c r="DL546" s="236"/>
      <c r="DM546" s="236"/>
      <c r="DN546" s="236"/>
    </row>
    <row r="547" spans="46:118" x14ac:dyDescent="0.3">
      <c r="AT547" s="44" t="str">
        <f t="shared" si="123"/>
        <v>18_20B.LM.W</v>
      </c>
      <c r="AU547" s="18" t="s">
        <v>70</v>
      </c>
      <c r="AV547" s="18" t="s">
        <v>312</v>
      </c>
      <c r="AW547" s="20" t="s">
        <v>113</v>
      </c>
      <c r="AX547" s="228">
        <v>1220115</v>
      </c>
      <c r="AY547" s="229">
        <v>0</v>
      </c>
      <c r="BA547" s="91"/>
      <c r="CK547" s="160"/>
      <c r="CL547" s="18"/>
      <c r="CM547" s="18"/>
      <c r="CN547" s="18"/>
      <c r="CO547" s="18"/>
      <c r="CP547" s="18"/>
      <c r="DH547" s="232"/>
      <c r="DI547" s="234"/>
      <c r="DJ547" s="234"/>
      <c r="DK547" s="235"/>
      <c r="DL547" s="236"/>
      <c r="DM547" s="236"/>
      <c r="DN547" s="236"/>
    </row>
    <row r="548" spans="46:118" x14ac:dyDescent="0.3">
      <c r="AT548" s="44" t="str">
        <f t="shared" si="123"/>
        <v>18_22B.LM.W</v>
      </c>
      <c r="AU548" s="18" t="s">
        <v>70</v>
      </c>
      <c r="AV548" s="18" t="s">
        <v>382</v>
      </c>
      <c r="AW548" s="20" t="s">
        <v>113</v>
      </c>
      <c r="AX548" s="228">
        <v>1220115</v>
      </c>
      <c r="AY548" s="229">
        <v>0</v>
      </c>
      <c r="BA548" s="91"/>
      <c r="CK548" s="160"/>
      <c r="CL548" s="18"/>
      <c r="CM548" s="18"/>
      <c r="CN548" s="18"/>
      <c r="CO548" s="18"/>
      <c r="CP548" s="18"/>
      <c r="DH548" s="232"/>
      <c r="DI548" s="234"/>
      <c r="DJ548" s="234"/>
      <c r="DK548" s="235"/>
      <c r="DL548" s="236"/>
      <c r="DM548" s="236"/>
      <c r="DN548" s="236"/>
    </row>
    <row r="549" spans="46:118" x14ac:dyDescent="0.3">
      <c r="AT549" s="44" t="str">
        <f t="shared" si="123"/>
        <v>18_24B.LM.W</v>
      </c>
      <c r="AU549" s="18" t="s">
        <v>70</v>
      </c>
      <c r="AV549" s="18" t="s">
        <v>461</v>
      </c>
      <c r="AW549" s="20" t="s">
        <v>113</v>
      </c>
      <c r="AX549" s="228">
        <v>1220115</v>
      </c>
      <c r="AY549" s="229">
        <v>0</v>
      </c>
      <c r="BA549" s="91"/>
      <c r="CK549" s="160"/>
      <c r="CL549" s="18"/>
      <c r="CM549" s="18"/>
      <c r="CN549" s="18"/>
      <c r="CO549" s="18"/>
      <c r="CP549" s="18"/>
      <c r="DH549" s="232"/>
      <c r="DI549" s="234"/>
      <c r="DJ549" s="234"/>
      <c r="DK549" s="235"/>
      <c r="DL549" s="236"/>
      <c r="DM549" s="236"/>
      <c r="DN549" s="236"/>
    </row>
    <row r="550" spans="46:118" x14ac:dyDescent="0.3">
      <c r="AT550" s="44" t="str">
        <f t="shared" si="123"/>
        <v>20_20B.LM.W</v>
      </c>
      <c r="AU550" s="18" t="s">
        <v>70</v>
      </c>
      <c r="AV550" s="18" t="s">
        <v>331</v>
      </c>
      <c r="AW550" s="20" t="s">
        <v>113</v>
      </c>
      <c r="AX550" s="228">
        <v>1220115</v>
      </c>
      <c r="AY550" s="229">
        <v>0</v>
      </c>
      <c r="BA550" s="91"/>
      <c r="CK550" s="160"/>
      <c r="CL550" s="18"/>
      <c r="CM550" s="18"/>
      <c r="CN550" s="18"/>
      <c r="CO550" s="18"/>
      <c r="CP550" s="18"/>
      <c r="DH550" s="232"/>
      <c r="DI550" s="234"/>
      <c r="DJ550" s="234"/>
      <c r="DK550" s="235"/>
      <c r="DL550" s="236"/>
      <c r="DM550" s="236"/>
      <c r="DN550" s="236"/>
    </row>
    <row r="551" spans="46:118" x14ac:dyDescent="0.3">
      <c r="AT551" s="44" t="str">
        <f t="shared" si="123"/>
        <v>20_22B.LM.W</v>
      </c>
      <c r="AU551" s="18" t="s">
        <v>70</v>
      </c>
      <c r="AV551" s="18" t="s">
        <v>400</v>
      </c>
      <c r="AW551" s="20" t="s">
        <v>113</v>
      </c>
      <c r="AX551" s="228">
        <v>1220115</v>
      </c>
      <c r="AY551" s="229">
        <v>0</v>
      </c>
      <c r="BA551" s="91"/>
      <c r="CK551" s="160"/>
      <c r="CL551" s="18"/>
      <c r="CM551" s="18"/>
      <c r="CN551" s="18"/>
      <c r="CO551" s="18"/>
      <c r="CP551" s="18"/>
      <c r="DH551" s="232"/>
      <c r="DI551" s="234"/>
      <c r="DJ551" s="234"/>
      <c r="DK551" s="235"/>
      <c r="DL551" s="236"/>
      <c r="DM551" s="236"/>
      <c r="DN551" s="236"/>
    </row>
    <row r="552" spans="46:118" x14ac:dyDescent="0.3">
      <c r="AT552" s="44" t="str">
        <f t="shared" si="123"/>
        <v>20_24B.LM.W</v>
      </c>
      <c r="AU552" s="18" t="s">
        <v>70</v>
      </c>
      <c r="AV552" s="18" t="s">
        <v>479</v>
      </c>
      <c r="AW552" s="20" t="s">
        <v>113</v>
      </c>
      <c r="AX552" s="228">
        <v>1220115</v>
      </c>
      <c r="AY552" s="229">
        <v>0</v>
      </c>
      <c r="BA552" s="91"/>
      <c r="CK552" s="160"/>
      <c r="CL552" s="18"/>
      <c r="CM552" s="18"/>
      <c r="CN552" s="18"/>
      <c r="CO552" s="18"/>
      <c r="CP552" s="18"/>
      <c r="DH552" s="232"/>
      <c r="DI552" s="234"/>
      <c r="DJ552" s="234"/>
      <c r="DK552" s="235"/>
      <c r="DL552" s="236"/>
      <c r="DM552" s="236"/>
      <c r="DN552" s="236"/>
    </row>
    <row r="553" spans="46:118" x14ac:dyDescent="0.3">
      <c r="AT553" s="44" t="str">
        <f t="shared" si="123"/>
        <v>4_14S.LM.W</v>
      </c>
      <c r="AU553" s="18" t="s">
        <v>70</v>
      </c>
      <c r="AV553" s="18" t="s">
        <v>1017</v>
      </c>
      <c r="AW553" s="20" t="s">
        <v>113</v>
      </c>
      <c r="AX553" s="228">
        <v>1220115</v>
      </c>
      <c r="AY553" s="229">
        <v>0</v>
      </c>
      <c r="BA553" s="91"/>
      <c r="CK553" s="160"/>
      <c r="CL553" s="18"/>
      <c r="CM553" s="18"/>
      <c r="CN553" s="18"/>
      <c r="CO553" s="18"/>
      <c r="CP553" s="18"/>
      <c r="DH553" s="232"/>
      <c r="DI553" s="234"/>
      <c r="DJ553" s="234"/>
      <c r="DK553" s="235"/>
      <c r="DL553" s="236"/>
      <c r="DM553" s="236"/>
      <c r="DN553" s="236"/>
    </row>
    <row r="554" spans="46:118" x14ac:dyDescent="0.3">
      <c r="AT554" s="44" t="str">
        <f t="shared" si="123"/>
        <v>4_14x8S.LM.W</v>
      </c>
      <c r="AU554" s="18" t="s">
        <v>70</v>
      </c>
      <c r="AV554" s="18" t="s">
        <v>1049</v>
      </c>
      <c r="AW554" s="20" t="s">
        <v>113</v>
      </c>
      <c r="AX554" s="228">
        <v>1220115</v>
      </c>
      <c r="AY554" s="229">
        <v>0</v>
      </c>
      <c r="BA554" s="91"/>
      <c r="CK554" s="160"/>
      <c r="CL554" s="18"/>
      <c r="CM554" s="18"/>
      <c r="CN554" s="18"/>
      <c r="CO554" s="18"/>
      <c r="CP554" s="18"/>
      <c r="DH554" s="232"/>
      <c r="DI554" s="234"/>
      <c r="DJ554" s="234"/>
      <c r="DK554" s="235"/>
      <c r="DL554" s="236"/>
      <c r="DM554" s="236"/>
      <c r="DN554" s="236"/>
    </row>
    <row r="555" spans="46:118" x14ac:dyDescent="0.3">
      <c r="AT555" s="44" t="str">
        <f t="shared" si="123"/>
        <v>5_14S.LM.W</v>
      </c>
      <c r="AU555" s="18" t="s">
        <v>70</v>
      </c>
      <c r="AV555" s="18" t="s">
        <v>1026</v>
      </c>
      <c r="AW555" s="20" t="s">
        <v>113</v>
      </c>
      <c r="AX555" s="228">
        <v>1220115</v>
      </c>
      <c r="AY555" s="229">
        <v>0</v>
      </c>
      <c r="BA555" s="91"/>
      <c r="CK555" s="160"/>
      <c r="CL555" s="18"/>
      <c r="CM555" s="18"/>
      <c r="CN555" s="18"/>
      <c r="CO555" s="18"/>
      <c r="CP555" s="18"/>
      <c r="DH555" s="232"/>
      <c r="DI555" s="234"/>
      <c r="DJ555" s="234"/>
      <c r="DK555" s="235"/>
      <c r="DL555" s="236"/>
      <c r="DM555" s="236"/>
      <c r="DN555" s="236"/>
    </row>
    <row r="556" spans="46:118" x14ac:dyDescent="0.3">
      <c r="AT556" s="44" t="str">
        <f t="shared" si="123"/>
        <v>5_14x8S.LM.W</v>
      </c>
      <c r="AU556" s="18" t="s">
        <v>70</v>
      </c>
      <c r="AV556" s="18" t="s">
        <v>1059</v>
      </c>
      <c r="AW556" s="20" t="s">
        <v>113</v>
      </c>
      <c r="AX556" s="228">
        <v>1220115</v>
      </c>
      <c r="AY556" s="229">
        <v>0</v>
      </c>
      <c r="BA556" s="91"/>
      <c r="CK556" s="160"/>
      <c r="CL556" s="18"/>
      <c r="CM556" s="18"/>
      <c r="CN556" s="18"/>
      <c r="CO556" s="18"/>
      <c r="CP556" s="18"/>
      <c r="DH556" s="232"/>
      <c r="DI556" s="234"/>
      <c r="DJ556" s="234"/>
      <c r="DK556" s="235"/>
      <c r="DL556" s="236"/>
      <c r="DM556" s="236"/>
      <c r="DN556" s="236"/>
    </row>
    <row r="557" spans="46:118" x14ac:dyDescent="0.3">
      <c r="AT557" s="44" t="str">
        <f t="shared" si="123"/>
        <v>5H_14x8S.LM.W</v>
      </c>
      <c r="AU557" s="18" t="s">
        <v>70</v>
      </c>
      <c r="AV557" s="18" t="s">
        <v>1067</v>
      </c>
      <c r="AW557" s="20" t="s">
        <v>113</v>
      </c>
      <c r="AX557" s="228">
        <v>1220115</v>
      </c>
      <c r="AY557" s="229">
        <v>0</v>
      </c>
      <c r="BA557" s="91"/>
      <c r="CK557" s="160"/>
      <c r="CL557" s="18"/>
      <c r="CM557" s="18"/>
      <c r="CN557" s="18"/>
      <c r="CO557" s="18"/>
      <c r="CP557" s="18"/>
      <c r="DH557" s="232"/>
      <c r="DI557" s="234"/>
      <c r="DJ557" s="234"/>
      <c r="DK557" s="235"/>
      <c r="DL557" s="236"/>
      <c r="DM557" s="236"/>
      <c r="DN557" s="236"/>
    </row>
    <row r="558" spans="46:118" x14ac:dyDescent="0.3">
      <c r="AT558" s="44" t="str">
        <f t="shared" si="123"/>
        <v>6_12S.LM.W</v>
      </c>
      <c r="AU558" s="18" t="s">
        <v>70</v>
      </c>
      <c r="AV558" s="18" t="s">
        <v>995</v>
      </c>
      <c r="AW558" s="20" t="s">
        <v>113</v>
      </c>
      <c r="AX558" s="228">
        <v>1220115</v>
      </c>
      <c r="AY558" s="229">
        <v>0</v>
      </c>
      <c r="BA558" s="91"/>
      <c r="CK558" s="160"/>
      <c r="CL558" s="18"/>
      <c r="CM558" s="18"/>
      <c r="CN558" s="18"/>
      <c r="CO558" s="18"/>
      <c r="CP558" s="18"/>
      <c r="DH558" s="232"/>
      <c r="DI558" s="234"/>
      <c r="DJ558" s="234"/>
      <c r="DK558" s="235"/>
      <c r="DL558" s="236"/>
      <c r="DM558" s="236"/>
      <c r="DN558" s="236"/>
    </row>
    <row r="559" spans="46:118" x14ac:dyDescent="0.3">
      <c r="AT559" s="44" t="str">
        <f t="shared" si="123"/>
        <v>6_13S.LM.W</v>
      </c>
      <c r="AU559" s="18" t="s">
        <v>70</v>
      </c>
      <c r="AV559" s="18" t="s">
        <v>1012</v>
      </c>
      <c r="AW559" s="20" t="s">
        <v>113</v>
      </c>
      <c r="AX559" s="228">
        <v>1220115</v>
      </c>
      <c r="AY559" s="229">
        <v>0</v>
      </c>
      <c r="BA559" s="91"/>
      <c r="CK559" s="160"/>
      <c r="CL559" s="18"/>
      <c r="CM559" s="18"/>
      <c r="CN559" s="18"/>
      <c r="CO559" s="18"/>
      <c r="CP559" s="18"/>
      <c r="DH559" s="232"/>
      <c r="DI559" s="234"/>
      <c r="DJ559" s="234"/>
      <c r="DK559" s="235"/>
      <c r="DL559" s="236"/>
      <c r="DM559" s="236"/>
      <c r="DN559" s="236"/>
    </row>
    <row r="560" spans="46:118" x14ac:dyDescent="0.3">
      <c r="AT560" s="44" t="str">
        <f t="shared" si="123"/>
        <v>6H_14S.LM.W</v>
      </c>
      <c r="AU560" s="18" t="s">
        <v>70</v>
      </c>
      <c r="AV560" s="18" t="s">
        <v>1039</v>
      </c>
      <c r="AW560" s="20" t="s">
        <v>113</v>
      </c>
      <c r="AX560" s="228">
        <v>1220115</v>
      </c>
      <c r="AY560" s="229">
        <v>0</v>
      </c>
      <c r="BA560" s="91"/>
      <c r="CK560" s="160"/>
      <c r="CL560" s="18"/>
      <c r="CM560" s="18"/>
      <c r="CN560" s="18"/>
      <c r="CO560" s="18"/>
      <c r="CP560" s="18"/>
      <c r="DH560" s="232"/>
      <c r="DI560" s="234"/>
      <c r="DJ560" s="234"/>
      <c r="DK560" s="235"/>
      <c r="DL560" s="236"/>
      <c r="DM560" s="236"/>
      <c r="DN560" s="236"/>
    </row>
    <row r="561" spans="46:118" x14ac:dyDescent="0.3">
      <c r="AT561" s="44" t="str">
        <f t="shared" si="123"/>
        <v>6H_14x8S.LM.W</v>
      </c>
      <c r="AU561" s="18" t="s">
        <v>70</v>
      </c>
      <c r="AV561" s="18" t="s">
        <v>1075</v>
      </c>
      <c r="AW561" s="20" t="s">
        <v>113</v>
      </c>
      <c r="AX561" s="228">
        <v>1220115</v>
      </c>
      <c r="AY561" s="229">
        <v>0</v>
      </c>
      <c r="BA561" s="91"/>
      <c r="CK561" s="160"/>
      <c r="CL561" s="18"/>
      <c r="CM561" s="18"/>
      <c r="CN561" s="18"/>
      <c r="CO561" s="18"/>
      <c r="CP561" s="18"/>
      <c r="DH561" s="232"/>
      <c r="DI561" s="234"/>
      <c r="DJ561" s="234"/>
      <c r="DK561" s="235"/>
      <c r="DL561" s="236"/>
      <c r="DM561" s="236"/>
      <c r="DN561" s="236"/>
    </row>
    <row r="562" spans="46:118" x14ac:dyDescent="0.3">
      <c r="AT562" s="44" t="str">
        <f t="shared" si="123"/>
        <v>7_10T.LM.W</v>
      </c>
      <c r="AU562" s="18" t="s">
        <v>70</v>
      </c>
      <c r="AV562" s="18" t="s">
        <v>763</v>
      </c>
      <c r="AW562" s="20" t="s">
        <v>113</v>
      </c>
      <c r="AX562" s="228">
        <v>1220115</v>
      </c>
      <c r="AY562" s="229">
        <v>0</v>
      </c>
      <c r="BA562" s="91"/>
      <c r="CK562" s="160"/>
      <c r="CL562" s="18"/>
      <c r="CM562" s="18"/>
      <c r="CN562" s="18"/>
      <c r="CO562" s="18"/>
      <c r="CP562" s="18"/>
      <c r="DH562" s="232"/>
      <c r="DI562" s="234"/>
      <c r="DJ562" s="234"/>
      <c r="DK562" s="235"/>
      <c r="DL562" s="236"/>
      <c r="DM562" s="236"/>
      <c r="DN562" s="236"/>
    </row>
    <row r="563" spans="46:118" x14ac:dyDescent="0.3">
      <c r="AT563" s="44" t="str">
        <f t="shared" si="123"/>
        <v>7H_10T.LM.W</v>
      </c>
      <c r="AU563" s="18" t="s">
        <v>70</v>
      </c>
      <c r="AV563" s="18" t="s">
        <v>769</v>
      </c>
      <c r="AW563" s="20" t="s">
        <v>113</v>
      </c>
      <c r="AX563" s="228">
        <v>1220115</v>
      </c>
      <c r="AY563" s="229">
        <v>0</v>
      </c>
      <c r="BA563" s="91"/>
      <c r="CK563" s="160"/>
      <c r="CL563" s="18"/>
      <c r="CM563" s="18"/>
      <c r="CN563" s="18"/>
      <c r="CO563" s="18"/>
      <c r="CP563" s="18"/>
      <c r="DH563" s="232"/>
      <c r="DI563" s="234"/>
      <c r="DJ563" s="234"/>
      <c r="DK563" s="235"/>
      <c r="DL563" s="236"/>
      <c r="DM563" s="236"/>
      <c r="DN563" s="236"/>
    </row>
    <row r="564" spans="46:118" x14ac:dyDescent="0.3">
      <c r="AT564" s="44" t="str">
        <f t="shared" si="123"/>
        <v>8_10T.LM.W</v>
      </c>
      <c r="AU564" s="18" t="s">
        <v>70</v>
      </c>
      <c r="AV564" s="18" t="s">
        <v>776</v>
      </c>
      <c r="AW564" s="20" t="s">
        <v>113</v>
      </c>
      <c r="AX564" s="228">
        <v>1220115</v>
      </c>
      <c r="AY564" s="229">
        <v>0</v>
      </c>
      <c r="BA564" s="91"/>
      <c r="CK564" s="160"/>
      <c r="CL564" s="18"/>
      <c r="CM564" s="18"/>
      <c r="CN564" s="18"/>
      <c r="CO564" s="18"/>
      <c r="CP564" s="18"/>
      <c r="DH564" s="232"/>
      <c r="DI564" s="234"/>
      <c r="DJ564" s="234"/>
      <c r="DK564" s="235"/>
      <c r="DL564" s="236"/>
      <c r="DM564" s="236"/>
      <c r="DN564" s="236"/>
    </row>
    <row r="565" spans="46:118" x14ac:dyDescent="0.3">
      <c r="AT565" s="44" t="str">
        <f t="shared" si="123"/>
        <v>8_12T.LM.W</v>
      </c>
      <c r="AU565" s="18" t="s">
        <v>70</v>
      </c>
      <c r="AV565" s="18" t="s">
        <v>791</v>
      </c>
      <c r="AW565" s="20" t="s">
        <v>113</v>
      </c>
      <c r="AX565" s="228">
        <v>1220115</v>
      </c>
      <c r="AY565" s="229">
        <v>0</v>
      </c>
      <c r="BA565" s="91"/>
      <c r="CK565" s="160"/>
      <c r="CL565" s="18"/>
      <c r="CM565" s="18"/>
      <c r="CN565" s="18"/>
      <c r="CO565" s="18"/>
      <c r="CP565" s="18"/>
      <c r="DH565" s="232"/>
      <c r="DI565" s="234"/>
      <c r="DJ565" s="234"/>
      <c r="DK565" s="235"/>
      <c r="DL565" s="236"/>
      <c r="DM565" s="236"/>
      <c r="DN565" s="236"/>
    </row>
    <row r="566" spans="46:118" x14ac:dyDescent="0.3">
      <c r="AT566" s="44" t="str">
        <f t="shared" si="123"/>
        <v>8_14S.LM.W</v>
      </c>
      <c r="AU566" s="18" t="s">
        <v>70</v>
      </c>
      <c r="AV566" s="18" t="s">
        <v>1046</v>
      </c>
      <c r="AW566" s="20" t="s">
        <v>113</v>
      </c>
      <c r="AX566" s="228">
        <v>1220115</v>
      </c>
      <c r="AY566" s="229">
        <v>0</v>
      </c>
      <c r="BA566" s="91"/>
      <c r="CK566" s="160"/>
      <c r="CL566" s="18"/>
      <c r="CM566" s="18"/>
      <c r="CN566" s="18"/>
      <c r="CO566" s="18"/>
      <c r="CP566" s="18"/>
      <c r="DH566" s="232"/>
      <c r="DI566" s="234"/>
      <c r="DJ566" s="234"/>
      <c r="DK566" s="235"/>
      <c r="DL566" s="236"/>
      <c r="DM566" s="236"/>
      <c r="DN566" s="236"/>
    </row>
    <row r="567" spans="46:118" x14ac:dyDescent="0.3">
      <c r="AT567" s="44" t="str">
        <f t="shared" si="123"/>
        <v>9_10T.LM.W</v>
      </c>
      <c r="AU567" s="18" t="s">
        <v>70</v>
      </c>
      <c r="AV567" s="18" t="s">
        <v>783</v>
      </c>
      <c r="AW567" s="20" t="s">
        <v>113</v>
      </c>
      <c r="AX567" s="228">
        <v>1220115</v>
      </c>
      <c r="AY567" s="229">
        <v>0</v>
      </c>
      <c r="BA567" s="91"/>
      <c r="CK567" s="160"/>
      <c r="CL567" s="18"/>
      <c r="CM567" s="18"/>
      <c r="CN567" s="18"/>
      <c r="CO567" s="18"/>
      <c r="CP567" s="18"/>
      <c r="DH567" s="232"/>
      <c r="DI567" s="234"/>
      <c r="DJ567" s="234"/>
      <c r="DK567" s="235"/>
      <c r="DL567" s="236"/>
      <c r="DM567" s="236"/>
      <c r="DN567" s="236"/>
    </row>
    <row r="568" spans="46:118" x14ac:dyDescent="0.3">
      <c r="AT568" s="44" t="str">
        <f t="shared" si="123"/>
        <v>9_12T.LM.W</v>
      </c>
      <c r="AU568" s="18" t="s">
        <v>70</v>
      </c>
      <c r="AV568" s="18" t="s">
        <v>804</v>
      </c>
      <c r="AW568" s="20" t="s">
        <v>113</v>
      </c>
      <c r="AX568" s="228">
        <v>1220115</v>
      </c>
      <c r="AY568" s="229">
        <v>0</v>
      </c>
      <c r="BA568" s="91"/>
      <c r="CK568" s="160"/>
      <c r="CL568" s="18"/>
      <c r="CM568" s="18"/>
      <c r="CN568" s="18"/>
      <c r="CO568" s="18"/>
      <c r="CP568" s="18"/>
      <c r="DH568" s="232"/>
      <c r="DI568" s="234"/>
      <c r="DJ568" s="234"/>
      <c r="DK568" s="235"/>
      <c r="DL568" s="236"/>
      <c r="DM568" s="236"/>
      <c r="DN568" s="236"/>
    </row>
    <row r="569" spans="46:118" x14ac:dyDescent="0.3">
      <c r="AT569" s="44" t="str">
        <f t="shared" si="123"/>
        <v>9_13T.LM.W</v>
      </c>
      <c r="AU569" s="18" t="s">
        <v>70</v>
      </c>
      <c r="AV569" s="18" t="s">
        <v>837</v>
      </c>
      <c r="AW569" s="20" t="s">
        <v>113</v>
      </c>
      <c r="AX569" s="228">
        <v>1220115</v>
      </c>
      <c r="AY569" s="229">
        <v>0</v>
      </c>
      <c r="BA569" s="91"/>
      <c r="CK569" s="160"/>
      <c r="CL569" s="18"/>
      <c r="CM569" s="18"/>
      <c r="CN569" s="18"/>
      <c r="CO569" s="18"/>
      <c r="CP569" s="18"/>
      <c r="DH569" s="232"/>
      <c r="DI569" s="234"/>
      <c r="DJ569" s="234"/>
      <c r="DK569" s="235"/>
      <c r="DL569" s="236"/>
      <c r="DM569" s="236"/>
      <c r="DN569" s="236"/>
    </row>
    <row r="570" spans="46:118" x14ac:dyDescent="0.3">
      <c r="AT570" s="44" t="str">
        <f t="shared" si="123"/>
        <v>9_14T.LM.W</v>
      </c>
      <c r="AU570" s="18" t="s">
        <v>70</v>
      </c>
      <c r="AV570" s="18" t="s">
        <v>874</v>
      </c>
      <c r="AW570" s="20" t="s">
        <v>113</v>
      </c>
      <c r="AX570" s="228">
        <v>1220115</v>
      </c>
      <c r="AY570" s="229">
        <v>0</v>
      </c>
      <c r="BA570" s="91"/>
      <c r="CK570" s="160"/>
      <c r="CL570" s="18"/>
      <c r="CM570" s="18"/>
      <c r="CN570" s="18"/>
      <c r="CO570" s="18"/>
      <c r="CP570" s="18"/>
      <c r="DH570" s="232"/>
      <c r="DI570" s="234"/>
      <c r="DJ570" s="234"/>
      <c r="DK570" s="235"/>
      <c r="DL570" s="236"/>
      <c r="DM570" s="236"/>
      <c r="DN570" s="236"/>
    </row>
    <row r="571" spans="46:118" x14ac:dyDescent="0.3">
      <c r="AT571" s="44" t="str">
        <f t="shared" si="123"/>
        <v>10_12T.LO.S</v>
      </c>
      <c r="AU571" s="18" t="s">
        <v>72</v>
      </c>
      <c r="AV571" s="18" t="s">
        <v>813</v>
      </c>
      <c r="AW571" s="20" t="s">
        <v>377</v>
      </c>
      <c r="AX571" s="228">
        <v>1220115</v>
      </c>
      <c r="AY571" s="229">
        <v>0</v>
      </c>
      <c r="BA571" s="91"/>
      <c r="CK571" s="160"/>
      <c r="CL571" s="18"/>
      <c r="CM571" s="18"/>
      <c r="CN571" s="18"/>
      <c r="CO571" s="18"/>
      <c r="CP571" s="18"/>
      <c r="DH571" s="232"/>
      <c r="DI571" s="234"/>
      <c r="DJ571" s="234"/>
      <c r="DK571" s="235"/>
      <c r="DL571" s="236"/>
      <c r="DM571" s="236"/>
      <c r="DN571" s="236"/>
    </row>
    <row r="572" spans="46:118" x14ac:dyDescent="0.3">
      <c r="AT572" s="44" t="str">
        <f t="shared" si="123"/>
        <v>10_13T.LO.S</v>
      </c>
      <c r="AU572" s="18" t="s">
        <v>72</v>
      </c>
      <c r="AV572" s="18" t="s">
        <v>848</v>
      </c>
      <c r="AW572" s="20" t="s">
        <v>377</v>
      </c>
      <c r="AX572" s="228">
        <v>1220115</v>
      </c>
      <c r="AY572" s="229">
        <v>0</v>
      </c>
      <c r="BA572" s="91"/>
      <c r="CK572" s="160"/>
      <c r="CL572" s="18"/>
      <c r="CM572" s="18"/>
      <c r="CN572" s="18"/>
      <c r="CO572" s="18"/>
      <c r="CP572" s="18"/>
      <c r="DH572" s="232"/>
      <c r="DI572" s="234"/>
      <c r="DJ572" s="234"/>
      <c r="DK572" s="235"/>
      <c r="DL572" s="236"/>
      <c r="DM572" s="236"/>
      <c r="DN572" s="236"/>
    </row>
    <row r="573" spans="46:118" x14ac:dyDescent="0.3">
      <c r="AT573" s="44" t="str">
        <f t="shared" si="123"/>
        <v>10_14S.LO.S</v>
      </c>
      <c r="AU573" s="18" t="s">
        <v>72</v>
      </c>
      <c r="AV573" s="18" t="s">
        <v>1122</v>
      </c>
      <c r="AW573" s="20" t="s">
        <v>377</v>
      </c>
      <c r="AX573" s="228">
        <v>1220115</v>
      </c>
      <c r="AY573" s="229">
        <v>0</v>
      </c>
      <c r="BA573" s="91"/>
      <c r="CK573" s="160"/>
      <c r="CL573" s="18"/>
      <c r="CM573" s="18"/>
      <c r="CN573" s="18"/>
      <c r="CO573" s="18"/>
      <c r="CP573" s="18"/>
      <c r="DH573" s="232"/>
      <c r="DI573" s="234"/>
      <c r="DJ573" s="234"/>
      <c r="DK573" s="235"/>
      <c r="DL573" s="236"/>
      <c r="DM573" s="236"/>
      <c r="DN573" s="236"/>
    </row>
    <row r="574" spans="46:118" x14ac:dyDescent="0.3">
      <c r="AT574" s="44" t="str">
        <f t="shared" si="123"/>
        <v>10_14T.LO.S</v>
      </c>
      <c r="AU574" s="18" t="s">
        <v>72</v>
      </c>
      <c r="AV574" s="18" t="s">
        <v>887</v>
      </c>
      <c r="AW574" s="20" t="s">
        <v>377</v>
      </c>
      <c r="AX574" s="228">
        <v>1220115</v>
      </c>
      <c r="AY574" s="229">
        <v>0</v>
      </c>
      <c r="BA574" s="91"/>
      <c r="CK574" s="160"/>
      <c r="CL574" s="18"/>
      <c r="CM574" s="18"/>
      <c r="CN574" s="18"/>
      <c r="CO574" s="18"/>
      <c r="CP574" s="18"/>
      <c r="DH574" s="232"/>
      <c r="DI574" s="234"/>
      <c r="DJ574" s="234"/>
      <c r="DK574" s="235"/>
      <c r="DL574" s="236"/>
      <c r="DM574" s="236"/>
      <c r="DN574" s="236"/>
    </row>
    <row r="575" spans="46:118" x14ac:dyDescent="0.3">
      <c r="AT575" s="44" t="str">
        <f t="shared" si="123"/>
        <v>11_12T.LO.S</v>
      </c>
      <c r="AU575" s="18" t="s">
        <v>72</v>
      </c>
      <c r="AV575" s="18" t="s">
        <v>825</v>
      </c>
      <c r="AW575" s="20" t="s">
        <v>377</v>
      </c>
      <c r="AX575" s="228">
        <v>1220115</v>
      </c>
      <c r="AY575" s="229">
        <v>0</v>
      </c>
      <c r="BA575" s="91"/>
      <c r="CK575" s="160"/>
      <c r="CL575" s="18"/>
      <c r="CM575" s="18"/>
      <c r="CN575" s="18"/>
      <c r="CO575" s="18"/>
      <c r="CP575" s="18"/>
      <c r="DH575" s="232"/>
      <c r="DI575" s="234"/>
      <c r="DJ575" s="234"/>
      <c r="DK575" s="235"/>
      <c r="DL575" s="236"/>
      <c r="DM575" s="236"/>
      <c r="DN575" s="236"/>
    </row>
    <row r="576" spans="46:118" x14ac:dyDescent="0.3">
      <c r="AT576" s="44" t="str">
        <f t="shared" si="123"/>
        <v>11_13T.LO.S</v>
      </c>
      <c r="AU576" s="18" t="s">
        <v>72</v>
      </c>
      <c r="AV576" s="18" t="s">
        <v>857</v>
      </c>
      <c r="AW576" s="20" t="s">
        <v>377</v>
      </c>
      <c r="AX576" s="228">
        <v>1220115</v>
      </c>
      <c r="AY576" s="229">
        <v>0</v>
      </c>
      <c r="BA576" s="91"/>
      <c r="CK576" s="160"/>
      <c r="CL576" s="18"/>
      <c r="CM576" s="18"/>
      <c r="CN576" s="18"/>
      <c r="CO576" s="18"/>
      <c r="CP576" s="18"/>
      <c r="DH576" s="232"/>
      <c r="DI576" s="234"/>
      <c r="DJ576" s="234"/>
      <c r="DK576" s="235"/>
      <c r="DL576" s="236"/>
      <c r="DM576" s="236"/>
      <c r="DN576" s="236"/>
    </row>
    <row r="577" spans="46:118" x14ac:dyDescent="0.3">
      <c r="AT577" s="44" t="str">
        <f t="shared" si="123"/>
        <v>11_14T.LO.S</v>
      </c>
      <c r="AU577" s="18" t="s">
        <v>72</v>
      </c>
      <c r="AV577" s="18" t="s">
        <v>900</v>
      </c>
      <c r="AW577" s="20" t="s">
        <v>377</v>
      </c>
      <c r="AX577" s="228">
        <v>1220115</v>
      </c>
      <c r="AY577" s="229">
        <v>0</v>
      </c>
      <c r="BA577" s="91"/>
      <c r="CK577" s="160"/>
      <c r="CL577" s="18"/>
      <c r="CM577" s="18"/>
      <c r="CN577" s="18"/>
      <c r="CO577" s="18"/>
      <c r="CP577" s="18"/>
      <c r="DH577" s="232"/>
      <c r="DI577" s="234"/>
      <c r="DJ577" s="234"/>
      <c r="DK577" s="235"/>
      <c r="DL577" s="236"/>
      <c r="DM577" s="236"/>
      <c r="DN577" s="236"/>
    </row>
    <row r="578" spans="46:118" x14ac:dyDescent="0.3">
      <c r="AT578" s="44" t="str">
        <f t="shared" si="123"/>
        <v>12_13T.LO.S</v>
      </c>
      <c r="AU578" s="18" t="s">
        <v>72</v>
      </c>
      <c r="AV578" s="18" t="s">
        <v>865</v>
      </c>
      <c r="AW578" s="20" t="s">
        <v>377</v>
      </c>
      <c r="AX578" s="228">
        <v>1220115</v>
      </c>
      <c r="AY578" s="229">
        <v>0</v>
      </c>
      <c r="BA578" s="91"/>
      <c r="CK578" s="160"/>
      <c r="CL578" s="18"/>
      <c r="CM578" s="18"/>
      <c r="CN578" s="18"/>
      <c r="CO578" s="18"/>
      <c r="CP578" s="18"/>
      <c r="DH578" s="232"/>
      <c r="DI578" s="234"/>
      <c r="DJ578" s="234"/>
      <c r="DK578" s="235"/>
      <c r="DL578" s="236"/>
      <c r="DM578" s="236"/>
      <c r="DN578" s="236"/>
    </row>
    <row r="579" spans="46:118" x14ac:dyDescent="0.3">
      <c r="AT579" s="44" t="str">
        <f t="shared" si="123"/>
        <v>12_14F.LO.S</v>
      </c>
      <c r="AU579" s="18" t="s">
        <v>72</v>
      </c>
      <c r="AV579" s="18" t="s">
        <v>583</v>
      </c>
      <c r="AW579" s="20" t="s">
        <v>377</v>
      </c>
      <c r="AX579" s="228">
        <v>1220115</v>
      </c>
      <c r="AY579" s="229">
        <v>0</v>
      </c>
      <c r="BA579" s="91"/>
      <c r="CK579" s="160"/>
      <c r="CL579" s="18"/>
      <c r="CM579" s="18"/>
      <c r="CN579" s="18"/>
      <c r="CO579" s="18"/>
      <c r="CP579" s="18"/>
      <c r="DH579" s="232"/>
      <c r="DI579" s="234"/>
      <c r="DJ579" s="234"/>
      <c r="DK579" s="235"/>
      <c r="DL579" s="236"/>
      <c r="DM579" s="236"/>
      <c r="DN579" s="236"/>
    </row>
    <row r="580" spans="46:118" x14ac:dyDescent="0.3">
      <c r="AT580" s="44" t="str">
        <f t="shared" si="123"/>
        <v>12_14T.LO.S</v>
      </c>
      <c r="AU580" s="18" t="s">
        <v>72</v>
      </c>
      <c r="AV580" s="18" t="s">
        <v>913</v>
      </c>
      <c r="AW580" s="20" t="s">
        <v>377</v>
      </c>
      <c r="AX580" s="228">
        <v>1220115</v>
      </c>
      <c r="AY580" s="229">
        <v>0</v>
      </c>
      <c r="BA580" s="91"/>
      <c r="CK580" s="160"/>
      <c r="CL580" s="18"/>
      <c r="CM580" s="18"/>
      <c r="CN580" s="18"/>
      <c r="CO580" s="18"/>
      <c r="CP580" s="18"/>
      <c r="DH580" s="232"/>
      <c r="DI580" s="234"/>
      <c r="DJ580" s="234"/>
      <c r="DK580" s="235"/>
      <c r="DL580" s="236"/>
      <c r="DM580" s="236"/>
      <c r="DN580" s="236"/>
    </row>
    <row r="581" spans="46:118" x14ac:dyDescent="0.3">
      <c r="AT581" s="44" t="str">
        <f t="shared" si="123"/>
        <v>12_15T.LO.S</v>
      </c>
      <c r="AU581" s="18" t="s">
        <v>72</v>
      </c>
      <c r="AV581" s="18" t="s">
        <v>941</v>
      </c>
      <c r="AW581" s="20" t="s">
        <v>377</v>
      </c>
      <c r="AX581" s="228">
        <v>1220115</v>
      </c>
      <c r="AY581" s="229">
        <v>0</v>
      </c>
      <c r="BA581" s="91"/>
      <c r="CK581" s="160"/>
      <c r="CL581" s="18"/>
      <c r="CM581" s="18"/>
      <c r="CN581" s="18"/>
      <c r="CO581" s="18"/>
      <c r="CP581" s="18"/>
      <c r="DH581" s="232"/>
      <c r="DI581" s="234"/>
      <c r="DJ581" s="234"/>
      <c r="DK581" s="235"/>
      <c r="DL581" s="236"/>
      <c r="DM581" s="236"/>
      <c r="DN581" s="236"/>
    </row>
    <row r="582" spans="46:118" x14ac:dyDescent="0.3">
      <c r="AT582" s="44" t="str">
        <f t="shared" si="123"/>
        <v>12_18B.LO.S</v>
      </c>
      <c r="AU582" s="18" t="s">
        <v>72</v>
      </c>
      <c r="AV582" s="18" t="s">
        <v>133</v>
      </c>
      <c r="AW582" s="20" t="s">
        <v>377</v>
      </c>
      <c r="AX582" s="228">
        <v>1220115</v>
      </c>
      <c r="AY582" s="229">
        <v>0</v>
      </c>
      <c r="BA582" s="91"/>
      <c r="CK582" s="160"/>
      <c r="CL582" s="18"/>
      <c r="CM582" s="18"/>
      <c r="CN582" s="18"/>
      <c r="CO582" s="18"/>
      <c r="CP582" s="18"/>
      <c r="DH582" s="232"/>
      <c r="DI582" s="234"/>
      <c r="DJ582" s="234"/>
      <c r="DK582" s="235"/>
      <c r="DL582" s="236"/>
      <c r="DM582" s="236"/>
      <c r="DN582" s="236"/>
    </row>
    <row r="583" spans="46:118" x14ac:dyDescent="0.3">
      <c r="AT583" s="44" t="str">
        <f t="shared" si="123"/>
        <v>12_20B.LO.S</v>
      </c>
      <c r="AU583" s="18" t="s">
        <v>72</v>
      </c>
      <c r="AV583" s="18" t="s">
        <v>217</v>
      </c>
      <c r="AW583" s="20" t="s">
        <v>377</v>
      </c>
      <c r="AX583" s="228">
        <v>1220115</v>
      </c>
      <c r="AY583" s="229">
        <v>0</v>
      </c>
      <c r="BA583" s="91"/>
      <c r="CK583" s="160"/>
      <c r="CL583" s="18"/>
      <c r="CM583" s="18"/>
      <c r="CN583" s="18"/>
      <c r="CO583" s="18"/>
      <c r="CP583" s="18"/>
      <c r="DH583" s="232"/>
      <c r="DI583" s="234"/>
      <c r="DJ583" s="234"/>
      <c r="DK583" s="235"/>
      <c r="DL583" s="236"/>
      <c r="DM583" s="236"/>
      <c r="DN583" s="236"/>
    </row>
    <row r="584" spans="46:118" x14ac:dyDescent="0.3">
      <c r="AT584" s="44" t="str">
        <f t="shared" si="123"/>
        <v>12_22B.LO.S</v>
      </c>
      <c r="AU584" s="18" t="s">
        <v>72</v>
      </c>
      <c r="AV584" s="18" t="s">
        <v>330</v>
      </c>
      <c r="AW584" s="20" t="s">
        <v>377</v>
      </c>
      <c r="AX584" s="228">
        <v>1220115</v>
      </c>
      <c r="AY584" s="229">
        <v>0</v>
      </c>
      <c r="BA584" s="91"/>
      <c r="CK584" s="160"/>
      <c r="CL584" s="18"/>
      <c r="CM584" s="18"/>
      <c r="CN584" s="18"/>
      <c r="CO584" s="18"/>
      <c r="CP584" s="18"/>
      <c r="DH584" s="232"/>
      <c r="DI584" s="234"/>
      <c r="DJ584" s="234"/>
      <c r="DK584" s="235"/>
      <c r="DL584" s="236"/>
      <c r="DM584" s="236"/>
      <c r="DN584" s="236"/>
    </row>
    <row r="585" spans="46:118" x14ac:dyDescent="0.3">
      <c r="AT585" s="44" t="str">
        <f t="shared" si="123"/>
        <v>12_24B.LO.S</v>
      </c>
      <c r="AU585" s="18" t="s">
        <v>72</v>
      </c>
      <c r="AV585" s="18" t="s">
        <v>413</v>
      </c>
      <c r="AW585" s="20" t="s">
        <v>377</v>
      </c>
      <c r="AX585" s="228">
        <v>1220115</v>
      </c>
      <c r="AY585" s="229">
        <v>0</v>
      </c>
      <c r="BA585" s="91"/>
      <c r="CK585" s="160"/>
      <c r="CL585" s="18"/>
      <c r="CM585" s="18"/>
      <c r="CN585" s="18"/>
      <c r="CO585" s="18"/>
      <c r="CP585" s="18"/>
      <c r="DH585" s="232"/>
      <c r="DI585" s="234"/>
      <c r="DJ585" s="234"/>
      <c r="DK585" s="235"/>
      <c r="DL585" s="236"/>
      <c r="DM585" s="236"/>
      <c r="DN585" s="236"/>
    </row>
    <row r="586" spans="46:118" x14ac:dyDescent="0.3">
      <c r="AT586" s="44" t="str">
        <f t="shared" si="123"/>
        <v>12_26B.LO.S</v>
      </c>
      <c r="AU586" s="18" t="s">
        <v>72</v>
      </c>
      <c r="AV586" s="18" t="s">
        <v>494</v>
      </c>
      <c r="AW586" s="20" t="s">
        <v>377</v>
      </c>
      <c r="AX586" s="228">
        <v>1220115</v>
      </c>
      <c r="AY586" s="229">
        <v>0</v>
      </c>
      <c r="BA586" s="91"/>
      <c r="CK586" s="160"/>
      <c r="CL586" s="18"/>
      <c r="CM586" s="18"/>
      <c r="CN586" s="18"/>
      <c r="CO586" s="18"/>
      <c r="CP586" s="18"/>
      <c r="DH586" s="232"/>
      <c r="DI586" s="234"/>
      <c r="DJ586" s="234"/>
      <c r="DK586" s="235"/>
      <c r="DL586" s="236"/>
      <c r="DM586" s="236"/>
      <c r="DN586" s="236"/>
    </row>
    <row r="587" spans="46:118" x14ac:dyDescent="0.3">
      <c r="AT587" s="44" t="str">
        <f t="shared" si="123"/>
        <v>13_14F.LO.S</v>
      </c>
      <c r="AU587" s="18" t="s">
        <v>72</v>
      </c>
      <c r="AV587" s="18" t="s">
        <v>602</v>
      </c>
      <c r="AW587" s="20" t="s">
        <v>377</v>
      </c>
      <c r="AX587" s="228">
        <v>1220115</v>
      </c>
      <c r="AY587" s="229">
        <v>0</v>
      </c>
      <c r="BA587" s="91"/>
      <c r="CK587" s="160"/>
      <c r="CL587" s="18"/>
      <c r="CM587" s="18"/>
      <c r="CN587" s="18"/>
      <c r="CO587" s="18"/>
      <c r="CP587" s="18"/>
      <c r="DH587" s="232"/>
      <c r="DI587" s="234"/>
      <c r="DJ587" s="234"/>
      <c r="DK587" s="235"/>
      <c r="DL587" s="236"/>
      <c r="DM587" s="236"/>
      <c r="DN587" s="236"/>
    </row>
    <row r="588" spans="46:118" x14ac:dyDescent="0.3">
      <c r="AT588" s="44" t="str">
        <f t="shared" si="123"/>
        <v>13_14T.LO.S</v>
      </c>
      <c r="AU588" s="18" t="s">
        <v>72</v>
      </c>
      <c r="AV588" s="18" t="s">
        <v>926</v>
      </c>
      <c r="AW588" s="20" t="s">
        <v>377</v>
      </c>
      <c r="AX588" s="228">
        <v>1220115</v>
      </c>
      <c r="AY588" s="229">
        <v>0</v>
      </c>
      <c r="BA588" s="91"/>
      <c r="CK588" s="160"/>
      <c r="CL588" s="18"/>
      <c r="CM588" s="18"/>
      <c r="CN588" s="18"/>
      <c r="CO588" s="18"/>
      <c r="CP588" s="18"/>
      <c r="DH588" s="232"/>
      <c r="DI588" s="234"/>
      <c r="DJ588" s="234"/>
      <c r="DK588" s="235"/>
      <c r="DL588" s="236"/>
      <c r="DM588" s="236"/>
      <c r="DN588" s="236"/>
    </row>
    <row r="589" spans="46:118" x14ac:dyDescent="0.3">
      <c r="AT589" s="44" t="str">
        <f t="shared" si="123"/>
        <v>13_15F.LO.S</v>
      </c>
      <c r="AU589" s="18" t="s">
        <v>72</v>
      </c>
      <c r="AV589" s="18" t="s">
        <v>630</v>
      </c>
      <c r="AW589" s="20" t="s">
        <v>377</v>
      </c>
      <c r="AX589" s="228">
        <v>1220115</v>
      </c>
      <c r="AY589" s="229">
        <v>0</v>
      </c>
      <c r="BA589" s="91"/>
      <c r="CK589" s="160"/>
      <c r="CL589" s="18"/>
      <c r="CM589" s="18"/>
      <c r="CN589" s="18"/>
      <c r="CO589" s="18"/>
      <c r="CP589" s="18"/>
      <c r="DH589" s="232"/>
      <c r="DI589" s="234"/>
      <c r="DJ589" s="234"/>
      <c r="DK589" s="235"/>
      <c r="DL589" s="236"/>
      <c r="DM589" s="236"/>
      <c r="DN589" s="236"/>
    </row>
    <row r="590" spans="46:118" x14ac:dyDescent="0.3">
      <c r="AT590" s="44" t="str">
        <f t="shared" si="123"/>
        <v>13_15T.LO.S</v>
      </c>
      <c r="AU590" s="18" t="s">
        <v>72</v>
      </c>
      <c r="AV590" s="18" t="s">
        <v>949</v>
      </c>
      <c r="AW590" s="20" t="s">
        <v>377</v>
      </c>
      <c r="AX590" s="228">
        <v>1220115</v>
      </c>
      <c r="AY590" s="229">
        <v>0</v>
      </c>
      <c r="BA590" s="91"/>
      <c r="CK590" s="160"/>
      <c r="CL590" s="18"/>
      <c r="CM590" s="18"/>
      <c r="CN590" s="18"/>
      <c r="CO590" s="18"/>
      <c r="CP590" s="18"/>
      <c r="DH590" s="232"/>
      <c r="DI590" s="234"/>
      <c r="DJ590" s="234"/>
      <c r="DK590" s="235"/>
      <c r="DL590" s="236"/>
      <c r="DM590" s="236"/>
      <c r="DN590" s="236"/>
    </row>
    <row r="591" spans="46:118" x14ac:dyDescent="0.3">
      <c r="AT591" s="44" t="str">
        <f t="shared" si="123"/>
        <v>13_16F.LO.S</v>
      </c>
      <c r="AU591" s="18" t="s">
        <v>72</v>
      </c>
      <c r="AV591" s="18" t="s">
        <v>665</v>
      </c>
      <c r="AW591" s="20" t="s">
        <v>377</v>
      </c>
      <c r="AX591" s="228">
        <v>1220115</v>
      </c>
      <c r="AY591" s="229">
        <v>0</v>
      </c>
      <c r="BA591" s="91"/>
      <c r="CK591" s="160"/>
      <c r="CL591" s="18"/>
      <c r="CM591" s="18"/>
      <c r="CN591" s="18"/>
      <c r="CO591" s="18"/>
      <c r="CP591" s="18"/>
      <c r="DH591" s="232"/>
      <c r="DI591" s="234"/>
      <c r="DJ591" s="234"/>
      <c r="DK591" s="235"/>
      <c r="DL591" s="236"/>
      <c r="DM591" s="236"/>
      <c r="DN591" s="236"/>
    </row>
    <row r="592" spans="46:118" x14ac:dyDescent="0.3">
      <c r="AT592" s="44" t="str">
        <f t="shared" si="123"/>
        <v>14_14F.LO.S</v>
      </c>
      <c r="AU592" s="18" t="s">
        <v>72</v>
      </c>
      <c r="AV592" s="18" t="s">
        <v>616</v>
      </c>
      <c r="AW592" s="20" t="s">
        <v>377</v>
      </c>
      <c r="AX592" s="228">
        <v>1220115</v>
      </c>
      <c r="AY592" s="229">
        <v>0</v>
      </c>
      <c r="BA592" s="91"/>
      <c r="CK592" s="160"/>
      <c r="CL592" s="18"/>
      <c r="CM592" s="18"/>
      <c r="CN592" s="18"/>
      <c r="CO592" s="18"/>
      <c r="CP592" s="18"/>
      <c r="DH592" s="232"/>
      <c r="DI592" s="234"/>
      <c r="DJ592" s="234"/>
      <c r="DK592" s="235"/>
      <c r="DL592" s="236"/>
      <c r="DM592" s="236"/>
      <c r="DN592" s="236"/>
    </row>
    <row r="593" spans="46:118" x14ac:dyDescent="0.3">
      <c r="AT593" s="44" t="str">
        <f t="shared" si="123"/>
        <v>14_14T.LO.S</v>
      </c>
      <c r="AU593" s="18" t="s">
        <v>72</v>
      </c>
      <c r="AV593" s="18" t="s">
        <v>933</v>
      </c>
      <c r="AW593" s="20" t="s">
        <v>377</v>
      </c>
      <c r="AX593" s="228">
        <v>1220115</v>
      </c>
      <c r="AY593" s="229">
        <v>0</v>
      </c>
      <c r="BA593" s="91"/>
      <c r="CK593" s="160"/>
      <c r="CL593" s="18"/>
      <c r="CM593" s="18"/>
      <c r="CN593" s="18"/>
      <c r="CO593" s="18"/>
      <c r="CP593" s="18"/>
      <c r="DH593" s="232"/>
      <c r="DI593" s="234"/>
      <c r="DJ593" s="234"/>
      <c r="DK593" s="235"/>
      <c r="DL593" s="236"/>
      <c r="DM593" s="236"/>
      <c r="DN593" s="236"/>
    </row>
    <row r="594" spans="46:118" x14ac:dyDescent="0.3">
      <c r="AT594" s="44" t="str">
        <f t="shared" si="123"/>
        <v>14_15F.LO.S</v>
      </c>
      <c r="AU594" s="18" t="s">
        <v>72</v>
      </c>
      <c r="AV594" s="18" t="s">
        <v>647</v>
      </c>
      <c r="AW594" s="20" t="s">
        <v>377</v>
      </c>
      <c r="AX594" s="228">
        <v>1220115</v>
      </c>
      <c r="AY594" s="229">
        <v>0</v>
      </c>
      <c r="BA594" s="91"/>
      <c r="CK594" s="160"/>
      <c r="CL594" s="18"/>
      <c r="CM594" s="18"/>
      <c r="CN594" s="18"/>
      <c r="CO594" s="18"/>
      <c r="CP594" s="18"/>
      <c r="DH594" s="232"/>
      <c r="DI594" s="234"/>
      <c r="DJ594" s="234"/>
      <c r="DK594" s="235"/>
      <c r="DL594" s="236"/>
      <c r="DM594" s="236"/>
      <c r="DN594" s="236"/>
    </row>
    <row r="595" spans="46:118" x14ac:dyDescent="0.3">
      <c r="AT595" s="44" t="str">
        <f t="shared" ref="AT595:AT658" si="124">CONCATENATE(AV595,".",AU595,".",AW595)</f>
        <v>14_15T.LO.S</v>
      </c>
      <c r="AU595" s="18" t="s">
        <v>72</v>
      </c>
      <c r="AV595" s="18" t="s">
        <v>956</v>
      </c>
      <c r="AW595" s="20" t="s">
        <v>377</v>
      </c>
      <c r="AX595" s="228">
        <v>1220115</v>
      </c>
      <c r="AY595" s="229">
        <v>0</v>
      </c>
      <c r="BA595" s="91"/>
      <c r="CK595" s="160"/>
      <c r="CL595" s="18"/>
      <c r="CM595" s="18"/>
      <c r="CN595" s="18"/>
      <c r="CO595" s="18"/>
      <c r="CP595" s="18"/>
      <c r="DH595" s="232"/>
      <c r="DI595" s="234"/>
      <c r="DJ595" s="234"/>
      <c r="DK595" s="235"/>
      <c r="DL595" s="236"/>
      <c r="DM595" s="236"/>
      <c r="DN595" s="236"/>
    </row>
    <row r="596" spans="46:118" x14ac:dyDescent="0.3">
      <c r="AT596" s="44" t="str">
        <f t="shared" si="124"/>
        <v>14_16F.LO.S</v>
      </c>
      <c r="AU596" s="18" t="s">
        <v>72</v>
      </c>
      <c r="AV596" s="18" t="s">
        <v>681</v>
      </c>
      <c r="AW596" s="20" t="s">
        <v>377</v>
      </c>
      <c r="AX596" s="228">
        <v>1220115</v>
      </c>
      <c r="AY596" s="229">
        <v>0</v>
      </c>
      <c r="BA596" s="91"/>
      <c r="CK596" s="160"/>
      <c r="CL596" s="18"/>
      <c r="CM596" s="18"/>
      <c r="CN596" s="18"/>
      <c r="CO596" s="18"/>
      <c r="CP596" s="18"/>
      <c r="DH596" s="232"/>
      <c r="DI596" s="234"/>
      <c r="DJ596" s="234"/>
      <c r="DK596" s="235"/>
      <c r="DL596" s="236"/>
      <c r="DM596" s="236"/>
      <c r="DN596" s="236"/>
    </row>
    <row r="597" spans="46:118" x14ac:dyDescent="0.3">
      <c r="AT597" s="44" t="str">
        <f t="shared" si="124"/>
        <v>14_16T.LO.S</v>
      </c>
      <c r="AU597" s="18" t="s">
        <v>72</v>
      </c>
      <c r="AV597" s="18" t="s">
        <v>970</v>
      </c>
      <c r="AW597" s="20" t="s">
        <v>377</v>
      </c>
      <c r="AX597" s="228">
        <v>1220115</v>
      </c>
      <c r="AY597" s="229">
        <v>0</v>
      </c>
      <c r="BA597" s="91"/>
      <c r="CK597" s="160"/>
      <c r="CL597" s="18"/>
      <c r="CM597" s="18"/>
      <c r="CN597" s="18"/>
      <c r="CO597" s="18"/>
      <c r="CP597" s="18"/>
      <c r="DH597" s="232"/>
      <c r="DI597" s="234"/>
      <c r="DJ597" s="234"/>
      <c r="DK597" s="235"/>
      <c r="DL597" s="236"/>
      <c r="DM597" s="236"/>
      <c r="DN597" s="236"/>
    </row>
    <row r="598" spans="46:118" x14ac:dyDescent="0.3">
      <c r="AT598" s="44" t="str">
        <f t="shared" si="124"/>
        <v>14_18B.LO.S</v>
      </c>
      <c r="AU598" s="18" t="s">
        <v>72</v>
      </c>
      <c r="AV598" s="18" t="s">
        <v>160</v>
      </c>
      <c r="AW598" s="20" t="s">
        <v>377</v>
      </c>
      <c r="AX598" s="228">
        <v>1220115</v>
      </c>
      <c r="AY598" s="229">
        <v>0</v>
      </c>
      <c r="BA598" s="91"/>
      <c r="CK598" s="160"/>
      <c r="CL598" s="18"/>
      <c r="CM598" s="18"/>
      <c r="CN598" s="18"/>
      <c r="CO598" s="18"/>
      <c r="CP598" s="18"/>
      <c r="DH598" s="232"/>
      <c r="DI598" s="234"/>
      <c r="DJ598" s="234"/>
      <c r="DK598" s="235"/>
      <c r="DL598" s="236"/>
      <c r="DM598" s="236"/>
      <c r="DN598" s="236"/>
    </row>
    <row r="599" spans="46:118" x14ac:dyDescent="0.3">
      <c r="AT599" s="44" t="str">
        <f t="shared" si="124"/>
        <v>14_20B.LO.S</v>
      </c>
      <c r="AU599" s="18" t="s">
        <v>72</v>
      </c>
      <c r="AV599" s="18" t="s">
        <v>253</v>
      </c>
      <c r="AW599" s="20" t="s">
        <v>377</v>
      </c>
      <c r="AX599" s="228">
        <v>1220115</v>
      </c>
      <c r="AY599" s="229">
        <v>0</v>
      </c>
      <c r="BA599" s="91"/>
      <c r="CK599" s="160"/>
      <c r="CL599" s="18"/>
      <c r="CM599" s="18"/>
      <c r="CN599" s="18"/>
      <c r="CO599" s="18"/>
      <c r="CP599" s="18"/>
      <c r="DH599" s="232"/>
      <c r="DI599" s="234"/>
      <c r="DJ599" s="234"/>
      <c r="DK599" s="235"/>
      <c r="DL599" s="236"/>
      <c r="DM599" s="236"/>
      <c r="DN599" s="236"/>
    </row>
    <row r="600" spans="46:118" x14ac:dyDescent="0.3">
      <c r="AT600" s="44" t="str">
        <f t="shared" si="124"/>
        <v>14_22B.LO.S</v>
      </c>
      <c r="AU600" s="18" t="s">
        <v>72</v>
      </c>
      <c r="AV600" s="18" t="s">
        <v>346</v>
      </c>
      <c r="AW600" s="20" t="s">
        <v>377</v>
      </c>
      <c r="AX600" s="228">
        <v>1220115</v>
      </c>
      <c r="AY600" s="229">
        <v>0</v>
      </c>
      <c r="BA600" s="91"/>
      <c r="CK600" s="160"/>
      <c r="CL600" s="18"/>
      <c r="CM600" s="18"/>
      <c r="CN600" s="18"/>
      <c r="CO600" s="18"/>
      <c r="CP600" s="18"/>
      <c r="DH600" s="232"/>
      <c r="DI600" s="234"/>
      <c r="DJ600" s="234"/>
      <c r="DK600" s="235"/>
      <c r="DL600" s="236"/>
      <c r="DM600" s="236"/>
      <c r="DN600" s="236"/>
    </row>
    <row r="601" spans="46:118" x14ac:dyDescent="0.3">
      <c r="AT601" s="44" t="str">
        <f t="shared" si="124"/>
        <v>14_24B.LO.S</v>
      </c>
      <c r="AU601" s="18" t="s">
        <v>72</v>
      </c>
      <c r="AV601" s="18" t="s">
        <v>428</v>
      </c>
      <c r="AW601" s="20" t="s">
        <v>377</v>
      </c>
      <c r="AX601" s="228">
        <v>1220115</v>
      </c>
      <c r="AY601" s="229">
        <v>0</v>
      </c>
      <c r="BA601" s="91"/>
      <c r="CK601" s="160"/>
      <c r="CL601" s="18"/>
      <c r="CM601" s="18"/>
      <c r="CN601" s="18"/>
      <c r="CO601" s="18"/>
      <c r="CP601" s="18"/>
      <c r="DH601" s="232"/>
      <c r="DI601" s="234"/>
      <c r="DJ601" s="234"/>
      <c r="DK601" s="235"/>
      <c r="DL601" s="236"/>
      <c r="DM601" s="236"/>
      <c r="DN601" s="236"/>
    </row>
    <row r="602" spans="46:118" x14ac:dyDescent="0.3">
      <c r="AT602" s="44" t="str">
        <f t="shared" si="124"/>
        <v>14_26B.LO.S</v>
      </c>
      <c r="AU602" s="18" t="s">
        <v>72</v>
      </c>
      <c r="AV602" s="18" t="s">
        <v>512</v>
      </c>
      <c r="AW602" s="20" t="s">
        <v>377</v>
      </c>
      <c r="AX602" s="228">
        <v>1220115</v>
      </c>
      <c r="AY602" s="229">
        <v>0</v>
      </c>
      <c r="BA602" s="91"/>
      <c r="CK602" s="160"/>
      <c r="CL602" s="18"/>
      <c r="CM602" s="18"/>
      <c r="CN602" s="18"/>
      <c r="CO602" s="18"/>
      <c r="CP602" s="18"/>
      <c r="DH602" s="232"/>
      <c r="DI602" s="234"/>
      <c r="DJ602" s="234"/>
      <c r="DK602" s="235"/>
      <c r="DL602" s="236"/>
      <c r="DM602" s="236"/>
      <c r="DN602" s="236"/>
    </row>
    <row r="603" spans="46:118" x14ac:dyDescent="0.3">
      <c r="AT603" s="44" t="str">
        <f t="shared" si="124"/>
        <v>15_16F.LO.S</v>
      </c>
      <c r="AU603" s="18" t="s">
        <v>72</v>
      </c>
      <c r="AV603" s="18" t="s">
        <v>698</v>
      </c>
      <c r="AW603" s="20" t="s">
        <v>377</v>
      </c>
      <c r="AX603" s="228">
        <v>1220115</v>
      </c>
      <c r="AY603" s="229">
        <v>0</v>
      </c>
      <c r="BA603" s="91"/>
      <c r="CK603" s="160"/>
      <c r="CL603" s="18"/>
      <c r="CM603" s="18"/>
      <c r="CN603" s="18"/>
      <c r="CO603" s="18"/>
      <c r="CP603" s="18"/>
      <c r="DH603" s="232"/>
      <c r="DI603" s="234"/>
      <c r="DJ603" s="234"/>
      <c r="DK603" s="235"/>
      <c r="DL603" s="236"/>
      <c r="DM603" s="236"/>
      <c r="DN603" s="236"/>
    </row>
    <row r="604" spans="46:118" x14ac:dyDescent="0.3">
      <c r="AT604" s="44" t="str">
        <f t="shared" si="124"/>
        <v>16_16F.LO.S</v>
      </c>
      <c r="AU604" s="18" t="s">
        <v>72</v>
      </c>
      <c r="AV604" s="18" t="s">
        <v>714</v>
      </c>
      <c r="AW604" s="20" t="s">
        <v>377</v>
      </c>
      <c r="AX604" s="228">
        <v>1220115</v>
      </c>
      <c r="AY604" s="229">
        <v>0</v>
      </c>
      <c r="BA604" s="91"/>
      <c r="CK604" s="160"/>
      <c r="CL604" s="18"/>
      <c r="CM604" s="18"/>
      <c r="CN604" s="18"/>
      <c r="CO604" s="18"/>
      <c r="CP604" s="18"/>
      <c r="DH604" s="232"/>
      <c r="DI604" s="234"/>
      <c r="DJ604" s="234"/>
      <c r="DK604" s="235"/>
      <c r="DL604" s="236"/>
      <c r="DM604" s="236"/>
      <c r="DN604" s="236"/>
    </row>
    <row r="605" spans="46:118" x14ac:dyDescent="0.3">
      <c r="AT605" s="44" t="str">
        <f t="shared" si="124"/>
        <v>16_16T.LO.S</v>
      </c>
      <c r="AU605" s="18" t="s">
        <v>72</v>
      </c>
      <c r="AV605" s="18" t="s">
        <v>985</v>
      </c>
      <c r="AW605" s="20" t="s">
        <v>377</v>
      </c>
      <c r="AX605" s="228">
        <v>1220115</v>
      </c>
      <c r="AY605" s="229">
        <v>0</v>
      </c>
      <c r="BA605" s="91"/>
      <c r="CK605" s="160"/>
      <c r="CL605" s="18"/>
      <c r="CM605" s="18"/>
      <c r="CN605" s="18"/>
      <c r="CO605" s="18"/>
      <c r="CP605" s="18"/>
      <c r="DH605" s="232"/>
      <c r="DI605" s="234"/>
      <c r="DJ605" s="234"/>
      <c r="DK605" s="235"/>
      <c r="DL605" s="236"/>
      <c r="DM605" s="236"/>
      <c r="DN605" s="236"/>
    </row>
    <row r="606" spans="46:118" x14ac:dyDescent="0.3">
      <c r="AT606" s="44" t="str">
        <f t="shared" si="124"/>
        <v>16_18B.LO.S</v>
      </c>
      <c r="AU606" s="18" t="s">
        <v>72</v>
      </c>
      <c r="AV606" s="18" t="s">
        <v>186</v>
      </c>
      <c r="AW606" s="20" t="s">
        <v>377</v>
      </c>
      <c r="AX606" s="228">
        <v>1220115</v>
      </c>
      <c r="AY606" s="229">
        <v>0</v>
      </c>
      <c r="BA606" s="91"/>
      <c r="CK606" s="160"/>
      <c r="CL606" s="18"/>
      <c r="CM606" s="18"/>
      <c r="CN606" s="18"/>
      <c r="CO606" s="18"/>
      <c r="CP606" s="18"/>
      <c r="DH606" s="232"/>
      <c r="DI606" s="234"/>
      <c r="DJ606" s="234"/>
      <c r="DK606" s="235"/>
      <c r="DL606" s="236"/>
      <c r="DM606" s="236"/>
      <c r="DN606" s="236"/>
    </row>
    <row r="607" spans="46:118" x14ac:dyDescent="0.3">
      <c r="AT607" s="44" t="str">
        <f t="shared" si="124"/>
        <v>16_18F.LO.S</v>
      </c>
      <c r="AU607" s="18" t="s">
        <v>72</v>
      </c>
      <c r="AV607" s="18" t="s">
        <v>726</v>
      </c>
      <c r="AW607" s="20" t="s">
        <v>377</v>
      </c>
      <c r="AX607" s="228">
        <v>1220115</v>
      </c>
      <c r="AY607" s="229">
        <v>0</v>
      </c>
      <c r="BA607" s="91"/>
      <c r="CK607" s="160"/>
      <c r="CL607" s="18"/>
      <c r="CM607" s="18"/>
      <c r="CN607" s="18"/>
      <c r="CO607" s="18"/>
      <c r="CP607" s="18"/>
      <c r="DH607" s="232"/>
      <c r="DI607" s="234"/>
      <c r="DJ607" s="234"/>
      <c r="DK607" s="235"/>
      <c r="DL607" s="236"/>
      <c r="DM607" s="236"/>
      <c r="DN607" s="236"/>
    </row>
    <row r="608" spans="46:118" x14ac:dyDescent="0.3">
      <c r="AT608" s="44" t="str">
        <f t="shared" si="124"/>
        <v>16_20B.LO.S</v>
      </c>
      <c r="AU608" s="18" t="s">
        <v>72</v>
      </c>
      <c r="AV608" s="18" t="s">
        <v>293</v>
      </c>
      <c r="AW608" s="20" t="s">
        <v>377</v>
      </c>
      <c r="AX608" s="228">
        <v>1220115</v>
      </c>
      <c r="AY608" s="229">
        <v>0</v>
      </c>
      <c r="BA608" s="91"/>
      <c r="CK608" s="160"/>
      <c r="CL608" s="18"/>
      <c r="CM608" s="18"/>
      <c r="CN608" s="18"/>
      <c r="CO608" s="18"/>
      <c r="CP608" s="18"/>
      <c r="DH608" s="232"/>
      <c r="DI608" s="234"/>
      <c r="DJ608" s="234"/>
      <c r="DK608" s="235"/>
      <c r="DL608" s="236"/>
      <c r="DM608" s="236"/>
      <c r="DN608" s="236"/>
    </row>
    <row r="609" spans="46:118" x14ac:dyDescent="0.3">
      <c r="AT609" s="44" t="str">
        <f t="shared" si="124"/>
        <v>16_22B.LO.S</v>
      </c>
      <c r="AU609" s="18" t="s">
        <v>72</v>
      </c>
      <c r="AV609" s="18" t="s">
        <v>365</v>
      </c>
      <c r="AW609" s="20" t="s">
        <v>377</v>
      </c>
      <c r="AX609" s="228">
        <v>1220115</v>
      </c>
      <c r="AY609" s="229">
        <v>0</v>
      </c>
      <c r="BA609" s="91"/>
      <c r="CK609" s="160"/>
      <c r="CL609" s="18"/>
      <c r="CM609" s="18"/>
      <c r="CN609" s="18"/>
      <c r="CO609" s="18"/>
      <c r="CP609" s="18"/>
      <c r="DH609" s="232"/>
      <c r="DI609" s="234"/>
      <c r="DJ609" s="234"/>
      <c r="DK609" s="235"/>
      <c r="DL609" s="236"/>
      <c r="DM609" s="236"/>
      <c r="DN609" s="236"/>
    </row>
    <row r="610" spans="46:118" x14ac:dyDescent="0.3">
      <c r="AT610" s="44" t="str">
        <f t="shared" si="124"/>
        <v>16_24B.LO.S</v>
      </c>
      <c r="AU610" s="18" t="s">
        <v>72</v>
      </c>
      <c r="AV610" s="18" t="s">
        <v>444</v>
      </c>
      <c r="AW610" s="20" t="s">
        <v>377</v>
      </c>
      <c r="AX610" s="228">
        <v>1220115</v>
      </c>
      <c r="AY610" s="229">
        <v>0</v>
      </c>
      <c r="BA610" s="91"/>
      <c r="CK610" s="160"/>
      <c r="CL610" s="18"/>
      <c r="CM610" s="18"/>
      <c r="CN610" s="18"/>
      <c r="CO610" s="18"/>
      <c r="CP610" s="18"/>
      <c r="DH610" s="232"/>
      <c r="DI610" s="234"/>
      <c r="DJ610" s="234"/>
      <c r="DK610" s="235"/>
      <c r="DL610" s="236"/>
      <c r="DM610" s="236"/>
      <c r="DN610" s="236"/>
    </row>
    <row r="611" spans="46:118" x14ac:dyDescent="0.3">
      <c r="AT611" s="44" t="str">
        <f t="shared" si="124"/>
        <v>16_26B.LO.S</v>
      </c>
      <c r="AU611" s="18" t="s">
        <v>72</v>
      </c>
      <c r="AV611" s="18" t="s">
        <v>532</v>
      </c>
      <c r="AW611" s="20" t="s">
        <v>377</v>
      </c>
      <c r="AX611" s="228">
        <v>1220115</v>
      </c>
      <c r="AY611" s="229">
        <v>0</v>
      </c>
      <c r="BA611" s="91"/>
      <c r="CK611" s="160"/>
      <c r="CL611" s="18"/>
      <c r="CM611" s="18"/>
      <c r="CN611" s="18"/>
      <c r="CO611" s="18"/>
      <c r="CP611" s="18"/>
      <c r="DH611" s="232"/>
      <c r="DI611" s="234"/>
      <c r="DJ611" s="234"/>
      <c r="DK611" s="235"/>
      <c r="DL611" s="236"/>
      <c r="DM611" s="236"/>
      <c r="DN611" s="236"/>
    </row>
    <row r="612" spans="46:118" x14ac:dyDescent="0.3">
      <c r="AT612" s="44" t="str">
        <f t="shared" si="124"/>
        <v>18_20B.LO.S</v>
      </c>
      <c r="AU612" s="18" t="s">
        <v>72</v>
      </c>
      <c r="AV612" s="18" t="s">
        <v>312</v>
      </c>
      <c r="AW612" s="20" t="s">
        <v>377</v>
      </c>
      <c r="AX612" s="228">
        <v>1220115</v>
      </c>
      <c r="AY612" s="229">
        <v>0</v>
      </c>
      <c r="BA612" s="91"/>
      <c r="CK612" s="160"/>
      <c r="CL612" s="18"/>
      <c r="CM612" s="18"/>
      <c r="CN612" s="18"/>
      <c r="CO612" s="18"/>
      <c r="CP612" s="18"/>
      <c r="DH612" s="232"/>
      <c r="DI612" s="234"/>
      <c r="DJ612" s="234"/>
      <c r="DK612" s="235"/>
      <c r="DL612" s="236"/>
      <c r="DM612" s="236"/>
      <c r="DN612" s="236"/>
    </row>
    <row r="613" spans="46:118" x14ac:dyDescent="0.3">
      <c r="AT613" s="44" t="str">
        <f t="shared" si="124"/>
        <v>18_22B.LO.S</v>
      </c>
      <c r="AU613" s="18" t="s">
        <v>72</v>
      </c>
      <c r="AV613" s="18" t="s">
        <v>382</v>
      </c>
      <c r="AW613" s="20" t="s">
        <v>377</v>
      </c>
      <c r="AX613" s="228">
        <v>1220115</v>
      </c>
      <c r="AY613" s="229">
        <v>0</v>
      </c>
      <c r="BA613" s="91"/>
      <c r="CK613" s="160"/>
      <c r="CL613" s="18"/>
      <c r="CM613" s="18"/>
      <c r="CN613" s="18"/>
      <c r="CO613" s="18"/>
      <c r="CP613" s="18"/>
      <c r="DH613" s="232"/>
      <c r="DI613" s="234"/>
      <c r="DJ613" s="234"/>
      <c r="DK613" s="235"/>
      <c r="DL613" s="236"/>
      <c r="DM613" s="236"/>
      <c r="DN613" s="236"/>
    </row>
    <row r="614" spans="46:118" x14ac:dyDescent="0.3">
      <c r="AT614" s="44" t="str">
        <f t="shared" si="124"/>
        <v>18_24B.LO.S</v>
      </c>
      <c r="AU614" s="18" t="s">
        <v>72</v>
      </c>
      <c r="AV614" s="18" t="s">
        <v>461</v>
      </c>
      <c r="AW614" s="20" t="s">
        <v>377</v>
      </c>
      <c r="AX614" s="228">
        <v>1220115</v>
      </c>
      <c r="AY614" s="229">
        <v>0</v>
      </c>
      <c r="BA614" s="91"/>
      <c r="CK614" s="160"/>
      <c r="CL614" s="18"/>
      <c r="CM614" s="18"/>
      <c r="CN614" s="18"/>
      <c r="CO614" s="18"/>
      <c r="CP614" s="18"/>
      <c r="DH614" s="232"/>
      <c r="DI614" s="234"/>
      <c r="DJ614" s="234"/>
      <c r="DK614" s="235"/>
      <c r="DL614" s="236"/>
      <c r="DM614" s="236"/>
      <c r="DN614" s="236"/>
    </row>
    <row r="615" spans="46:118" x14ac:dyDescent="0.3">
      <c r="AT615" s="44" t="str">
        <f t="shared" si="124"/>
        <v>20_22B.LO.S</v>
      </c>
      <c r="AU615" s="18" t="s">
        <v>72</v>
      </c>
      <c r="AV615" s="18" t="s">
        <v>400</v>
      </c>
      <c r="AW615" s="20" t="s">
        <v>377</v>
      </c>
      <c r="AX615" s="228">
        <v>1220115</v>
      </c>
      <c r="AY615" s="229">
        <v>0</v>
      </c>
      <c r="BA615" s="91"/>
      <c r="CK615" s="160"/>
      <c r="CL615" s="18"/>
      <c r="CM615" s="18"/>
      <c r="CN615" s="18"/>
      <c r="CO615" s="18"/>
      <c r="CP615" s="18"/>
      <c r="DH615" s="232"/>
      <c r="DI615" s="234"/>
      <c r="DJ615" s="234"/>
      <c r="DK615" s="235"/>
      <c r="DL615" s="236"/>
      <c r="DM615" s="236"/>
      <c r="DN615" s="236"/>
    </row>
    <row r="616" spans="46:118" x14ac:dyDescent="0.3">
      <c r="AT616" s="44" t="str">
        <f t="shared" si="124"/>
        <v>20_24B.LO.S</v>
      </c>
      <c r="AU616" s="18" t="s">
        <v>72</v>
      </c>
      <c r="AV616" s="18" t="s">
        <v>479</v>
      </c>
      <c r="AW616" s="20" t="s">
        <v>377</v>
      </c>
      <c r="AX616" s="228">
        <v>1220115</v>
      </c>
      <c r="AY616" s="229">
        <v>0</v>
      </c>
      <c r="BA616" s="91"/>
      <c r="CK616" s="160"/>
      <c r="CL616" s="18"/>
      <c r="CM616" s="18"/>
      <c r="CN616" s="18"/>
      <c r="CO616" s="18"/>
      <c r="CP616" s="18"/>
      <c r="DH616" s="232"/>
      <c r="DI616" s="234"/>
      <c r="DJ616" s="234"/>
      <c r="DK616" s="235"/>
      <c r="DL616" s="236"/>
      <c r="DM616" s="236"/>
      <c r="DN616" s="236"/>
    </row>
    <row r="617" spans="46:118" x14ac:dyDescent="0.3">
      <c r="AT617" s="44" t="str">
        <f t="shared" si="124"/>
        <v>3H_13S.LO.S</v>
      </c>
      <c r="AU617" s="18" t="s">
        <v>72</v>
      </c>
      <c r="AV617" s="18" t="s">
        <v>1001</v>
      </c>
      <c r="AW617" s="20" t="s">
        <v>377</v>
      </c>
      <c r="AX617" s="228">
        <v>1220115</v>
      </c>
      <c r="AY617" s="229">
        <v>0</v>
      </c>
      <c r="BA617" s="91"/>
      <c r="CK617" s="160"/>
      <c r="CL617" s="18"/>
      <c r="CM617" s="18"/>
      <c r="CN617" s="18"/>
      <c r="CO617" s="18"/>
      <c r="CP617" s="18"/>
      <c r="DH617" s="232"/>
      <c r="DI617" s="234"/>
      <c r="DJ617" s="234"/>
      <c r="DK617" s="235"/>
      <c r="DL617" s="236"/>
      <c r="DM617" s="236"/>
      <c r="DN617" s="236"/>
    </row>
    <row r="618" spans="46:118" x14ac:dyDescent="0.3">
      <c r="AT618" s="44" t="str">
        <f t="shared" si="124"/>
        <v>4_14S.LO.S</v>
      </c>
      <c r="AU618" s="18" t="s">
        <v>72</v>
      </c>
      <c r="AV618" s="18" t="s">
        <v>1017</v>
      </c>
      <c r="AW618" s="20" t="s">
        <v>377</v>
      </c>
      <c r="AX618" s="228">
        <v>1220115</v>
      </c>
      <c r="AY618" s="229">
        <v>0</v>
      </c>
      <c r="BA618" s="91"/>
      <c r="CK618" s="160"/>
      <c r="CL618" s="18"/>
      <c r="CM618" s="18"/>
      <c r="CN618" s="18"/>
      <c r="CO618" s="18"/>
      <c r="CP618" s="18"/>
      <c r="DH618" s="232"/>
      <c r="DI618" s="234"/>
      <c r="DJ618" s="234"/>
      <c r="DK618" s="235"/>
      <c r="DL618" s="236"/>
      <c r="DM618" s="236"/>
      <c r="DN618" s="236"/>
    </row>
    <row r="619" spans="46:118" x14ac:dyDescent="0.3">
      <c r="AT619" s="44" t="str">
        <f t="shared" si="124"/>
        <v>4_14x8S.LO.S</v>
      </c>
      <c r="AU619" s="18" t="s">
        <v>72</v>
      </c>
      <c r="AV619" s="18" t="s">
        <v>1049</v>
      </c>
      <c r="AW619" s="20" t="s">
        <v>377</v>
      </c>
      <c r="AX619" s="228">
        <v>1220115</v>
      </c>
      <c r="AY619" s="229">
        <v>0</v>
      </c>
      <c r="BA619" s="91"/>
      <c r="CK619" s="160"/>
      <c r="CL619" s="18"/>
      <c r="CM619" s="18"/>
      <c r="CN619" s="18"/>
      <c r="CO619" s="18"/>
      <c r="CP619" s="18"/>
      <c r="DH619" s="232"/>
      <c r="DI619" s="234"/>
      <c r="DJ619" s="234"/>
      <c r="DK619" s="235"/>
      <c r="DL619" s="236"/>
      <c r="DM619" s="236"/>
      <c r="DN619" s="236"/>
    </row>
    <row r="620" spans="46:118" x14ac:dyDescent="0.3">
      <c r="AT620" s="44" t="str">
        <f t="shared" si="124"/>
        <v>5_14S.LO.S</v>
      </c>
      <c r="AU620" s="18" t="s">
        <v>72</v>
      </c>
      <c r="AV620" s="18" t="s">
        <v>1026</v>
      </c>
      <c r="AW620" s="20" t="s">
        <v>377</v>
      </c>
      <c r="AX620" s="228">
        <v>1220115</v>
      </c>
      <c r="AY620" s="229">
        <v>0</v>
      </c>
      <c r="BA620" s="91"/>
      <c r="CK620" s="160"/>
      <c r="CL620" s="18"/>
      <c r="CM620" s="18"/>
      <c r="CN620" s="18"/>
      <c r="CO620" s="18"/>
      <c r="CP620" s="18"/>
      <c r="DH620" s="232"/>
      <c r="DI620" s="234"/>
      <c r="DJ620" s="234"/>
      <c r="DK620" s="235"/>
      <c r="DL620" s="236"/>
      <c r="DM620" s="236"/>
      <c r="DN620" s="236"/>
    </row>
    <row r="621" spans="46:118" x14ac:dyDescent="0.3">
      <c r="AT621" s="44" t="str">
        <f t="shared" si="124"/>
        <v>5_14x8S.LO.S</v>
      </c>
      <c r="AU621" s="18" t="s">
        <v>72</v>
      </c>
      <c r="AV621" s="18" t="s">
        <v>1059</v>
      </c>
      <c r="AW621" s="20" t="s">
        <v>377</v>
      </c>
      <c r="AX621" s="228">
        <v>1220115</v>
      </c>
      <c r="AY621" s="229">
        <v>0</v>
      </c>
      <c r="BA621" s="91"/>
      <c r="CK621" s="160"/>
      <c r="CL621" s="18"/>
      <c r="CM621" s="18"/>
      <c r="CN621" s="18"/>
      <c r="CO621" s="18"/>
      <c r="CP621" s="18"/>
      <c r="DH621" s="232"/>
      <c r="DI621" s="234"/>
      <c r="DJ621" s="234"/>
      <c r="DK621" s="235"/>
      <c r="DL621" s="236"/>
      <c r="DM621" s="236"/>
      <c r="DN621" s="236"/>
    </row>
    <row r="622" spans="46:118" x14ac:dyDescent="0.3">
      <c r="AT622" s="44" t="str">
        <f t="shared" si="124"/>
        <v>5H_14x8S.LO.S</v>
      </c>
      <c r="AU622" s="18" t="s">
        <v>72</v>
      </c>
      <c r="AV622" s="18" t="s">
        <v>1067</v>
      </c>
      <c r="AW622" s="20" t="s">
        <v>377</v>
      </c>
      <c r="AX622" s="228">
        <v>1220115</v>
      </c>
      <c r="AY622" s="229">
        <v>0</v>
      </c>
      <c r="BA622" s="91"/>
      <c r="CK622" s="160"/>
      <c r="CL622" s="18"/>
      <c r="CM622" s="18"/>
      <c r="CN622" s="18"/>
      <c r="CO622" s="18"/>
      <c r="CP622" s="18"/>
      <c r="DH622" s="232"/>
      <c r="DI622" s="234"/>
      <c r="DJ622" s="234"/>
      <c r="DK622" s="235"/>
      <c r="DL622" s="236"/>
      <c r="DM622" s="236"/>
      <c r="DN622" s="236"/>
    </row>
    <row r="623" spans="46:118" x14ac:dyDescent="0.3">
      <c r="AT623" s="44" t="str">
        <f t="shared" si="124"/>
        <v>6_12S.LO.S</v>
      </c>
      <c r="AU623" s="18" t="s">
        <v>72</v>
      </c>
      <c r="AV623" s="18" t="s">
        <v>995</v>
      </c>
      <c r="AW623" s="20" t="s">
        <v>377</v>
      </c>
      <c r="AX623" s="228">
        <v>1220115</v>
      </c>
      <c r="AY623" s="229">
        <v>0</v>
      </c>
      <c r="BA623" s="91"/>
      <c r="CK623" s="160"/>
      <c r="CL623" s="18"/>
      <c r="CM623" s="18"/>
      <c r="CN623" s="18"/>
      <c r="CO623" s="18"/>
      <c r="CP623" s="18"/>
      <c r="DH623" s="232"/>
      <c r="DI623" s="234"/>
      <c r="DJ623" s="234"/>
      <c r="DK623" s="235"/>
      <c r="DL623" s="236"/>
      <c r="DM623" s="236"/>
      <c r="DN623" s="236"/>
    </row>
    <row r="624" spans="46:118" x14ac:dyDescent="0.3">
      <c r="AT624" s="44" t="str">
        <f t="shared" si="124"/>
        <v>6_13S.LO.S</v>
      </c>
      <c r="AU624" s="18" t="s">
        <v>72</v>
      </c>
      <c r="AV624" s="18" t="s">
        <v>1012</v>
      </c>
      <c r="AW624" s="20" t="s">
        <v>377</v>
      </c>
      <c r="AX624" s="228">
        <v>1220115</v>
      </c>
      <c r="AY624" s="229">
        <v>0</v>
      </c>
      <c r="BA624" s="91"/>
      <c r="CK624" s="160"/>
      <c r="CL624" s="18"/>
      <c r="CM624" s="18"/>
      <c r="CN624" s="18"/>
      <c r="CO624" s="18"/>
      <c r="CP624" s="18"/>
      <c r="DH624" s="232"/>
      <c r="DI624" s="234"/>
      <c r="DJ624" s="234"/>
      <c r="DK624" s="235"/>
      <c r="DL624" s="236"/>
      <c r="DM624" s="236"/>
      <c r="DN624" s="236"/>
    </row>
    <row r="625" spans="46:118" x14ac:dyDescent="0.3">
      <c r="AT625" s="44" t="str">
        <f t="shared" si="124"/>
        <v>6H_14S.LO.S</v>
      </c>
      <c r="AU625" s="18" t="s">
        <v>72</v>
      </c>
      <c r="AV625" s="18" t="s">
        <v>1039</v>
      </c>
      <c r="AW625" s="20" t="s">
        <v>377</v>
      </c>
      <c r="AX625" s="228">
        <v>1220115</v>
      </c>
      <c r="AY625" s="229">
        <v>0</v>
      </c>
      <c r="BA625" s="91"/>
      <c r="CK625" s="160"/>
      <c r="CL625" s="18"/>
      <c r="CM625" s="18"/>
      <c r="CN625" s="18"/>
      <c r="CO625" s="18"/>
      <c r="CP625" s="18"/>
      <c r="DH625" s="232"/>
      <c r="DI625" s="234"/>
      <c r="DJ625" s="234"/>
      <c r="DK625" s="235"/>
      <c r="DL625" s="236"/>
      <c r="DM625" s="236"/>
      <c r="DN625" s="236"/>
    </row>
    <row r="626" spans="46:118" x14ac:dyDescent="0.3">
      <c r="AT626" s="44" t="str">
        <f t="shared" si="124"/>
        <v>6H_14x8S.LO.S</v>
      </c>
      <c r="AU626" s="18" t="s">
        <v>72</v>
      </c>
      <c r="AV626" s="18" t="s">
        <v>1075</v>
      </c>
      <c r="AW626" s="20" t="s">
        <v>377</v>
      </c>
      <c r="AX626" s="228">
        <v>1220115</v>
      </c>
      <c r="AY626" s="229">
        <v>0</v>
      </c>
      <c r="BA626" s="91"/>
      <c r="CK626" s="160"/>
      <c r="CL626" s="18"/>
      <c r="CM626" s="18"/>
      <c r="CN626" s="18"/>
      <c r="CO626" s="18"/>
      <c r="CP626" s="18"/>
      <c r="DH626" s="232"/>
      <c r="DI626" s="234"/>
      <c r="DJ626" s="234"/>
      <c r="DK626" s="235"/>
      <c r="DL626" s="236"/>
      <c r="DM626" s="236"/>
      <c r="DN626" s="236"/>
    </row>
    <row r="627" spans="46:118" x14ac:dyDescent="0.3">
      <c r="AT627" s="44" t="str">
        <f t="shared" si="124"/>
        <v>7_10T.LO.S</v>
      </c>
      <c r="AU627" s="18" t="s">
        <v>72</v>
      </c>
      <c r="AV627" s="18" t="s">
        <v>763</v>
      </c>
      <c r="AW627" s="20" t="s">
        <v>377</v>
      </c>
      <c r="AX627" s="228">
        <v>1220115</v>
      </c>
      <c r="AY627" s="229">
        <v>0</v>
      </c>
      <c r="BA627" s="91"/>
      <c r="CK627" s="160"/>
      <c r="CL627" s="18"/>
      <c r="CM627" s="18"/>
      <c r="CN627" s="18"/>
      <c r="CO627" s="18"/>
      <c r="CP627" s="18"/>
      <c r="DH627" s="232"/>
      <c r="DI627" s="234"/>
      <c r="DJ627" s="234"/>
      <c r="DK627" s="235"/>
      <c r="DL627" s="236"/>
      <c r="DM627" s="236"/>
      <c r="DN627" s="236"/>
    </row>
    <row r="628" spans="46:118" x14ac:dyDescent="0.3">
      <c r="AT628" s="44" t="str">
        <f t="shared" si="124"/>
        <v>7_8T.LO.S</v>
      </c>
      <c r="AU628" s="18" t="s">
        <v>72</v>
      </c>
      <c r="AV628" s="18" t="s">
        <v>748</v>
      </c>
      <c r="AW628" s="20" t="s">
        <v>377</v>
      </c>
      <c r="AX628" s="228">
        <v>1220115</v>
      </c>
      <c r="AY628" s="229">
        <v>0</v>
      </c>
      <c r="BA628" s="91"/>
      <c r="CK628" s="160"/>
      <c r="CL628" s="18"/>
      <c r="CM628" s="18"/>
      <c r="CN628" s="18"/>
      <c r="CO628" s="18"/>
      <c r="CP628" s="18"/>
      <c r="DH628" s="232"/>
      <c r="DI628" s="234"/>
      <c r="DJ628" s="234"/>
      <c r="DK628" s="235"/>
      <c r="DL628" s="236"/>
      <c r="DM628" s="236"/>
      <c r="DN628" s="236"/>
    </row>
    <row r="629" spans="46:118" x14ac:dyDescent="0.3">
      <c r="AT629" s="44" t="str">
        <f t="shared" si="124"/>
        <v>7H_10T.LO.S</v>
      </c>
      <c r="AU629" s="18" t="s">
        <v>72</v>
      </c>
      <c r="AV629" s="18" t="s">
        <v>769</v>
      </c>
      <c r="AW629" s="20" t="s">
        <v>377</v>
      </c>
      <c r="AX629" s="228">
        <v>1220115</v>
      </c>
      <c r="AY629" s="229">
        <v>0</v>
      </c>
      <c r="BA629" s="91"/>
      <c r="CK629" s="160"/>
      <c r="CL629" s="18"/>
      <c r="CM629" s="18"/>
      <c r="CN629" s="18"/>
      <c r="CO629" s="18"/>
      <c r="CP629" s="18"/>
      <c r="DH629" s="232"/>
      <c r="DI629" s="234"/>
      <c r="DJ629" s="234"/>
      <c r="DK629" s="235"/>
      <c r="DL629" s="236"/>
      <c r="DM629" s="236"/>
      <c r="DN629" s="236"/>
    </row>
    <row r="630" spans="46:118" x14ac:dyDescent="0.3">
      <c r="AT630" s="44" t="str">
        <f t="shared" si="124"/>
        <v>8_10T.LO.S</v>
      </c>
      <c r="AU630" s="18" t="s">
        <v>72</v>
      </c>
      <c r="AV630" s="18" t="s">
        <v>776</v>
      </c>
      <c r="AW630" s="20" t="s">
        <v>377</v>
      </c>
      <c r="AX630" s="228">
        <v>1220115</v>
      </c>
      <c r="AY630" s="229">
        <v>0</v>
      </c>
      <c r="BA630" s="91"/>
      <c r="CK630" s="160"/>
      <c r="CL630" s="18"/>
      <c r="CM630" s="18"/>
      <c r="CN630" s="18"/>
      <c r="CO630" s="18"/>
      <c r="CP630" s="18"/>
      <c r="DH630" s="232"/>
      <c r="DI630" s="234"/>
      <c r="DJ630" s="234"/>
      <c r="DK630" s="235"/>
      <c r="DL630" s="236"/>
      <c r="DM630" s="236"/>
      <c r="DN630" s="236"/>
    </row>
    <row r="631" spans="46:118" x14ac:dyDescent="0.3">
      <c r="AT631" s="44" t="str">
        <f t="shared" si="124"/>
        <v>8_12T.LO.S</v>
      </c>
      <c r="AU631" s="18" t="s">
        <v>72</v>
      </c>
      <c r="AV631" s="18" t="s">
        <v>791</v>
      </c>
      <c r="AW631" s="20" t="s">
        <v>377</v>
      </c>
      <c r="AX631" s="228">
        <v>1220115</v>
      </c>
      <c r="AY631" s="229">
        <v>0</v>
      </c>
      <c r="BA631" s="91"/>
      <c r="CK631" s="160"/>
      <c r="CL631" s="18"/>
      <c r="CM631" s="18"/>
      <c r="CN631" s="18"/>
      <c r="CO631" s="18"/>
      <c r="CP631" s="18"/>
      <c r="DH631" s="232"/>
      <c r="DI631" s="234"/>
      <c r="DJ631" s="234"/>
      <c r="DK631" s="235"/>
      <c r="DL631" s="236"/>
      <c r="DM631" s="236"/>
      <c r="DN631" s="236"/>
    </row>
    <row r="632" spans="46:118" x14ac:dyDescent="0.3">
      <c r="AT632" s="44" t="str">
        <f t="shared" si="124"/>
        <v>8_14S.LO.S</v>
      </c>
      <c r="AU632" s="18" t="s">
        <v>72</v>
      </c>
      <c r="AV632" s="18" t="s">
        <v>1046</v>
      </c>
      <c r="AW632" s="20" t="s">
        <v>377</v>
      </c>
      <c r="AX632" s="228">
        <v>1220115</v>
      </c>
      <c r="AY632" s="229">
        <v>0</v>
      </c>
      <c r="BA632" s="91"/>
      <c r="CK632" s="160"/>
      <c r="CL632" s="18"/>
      <c r="CM632" s="18"/>
      <c r="CN632" s="18"/>
      <c r="CO632" s="18"/>
      <c r="CP632" s="18"/>
      <c r="DH632" s="232"/>
      <c r="DI632" s="234"/>
      <c r="DJ632" s="234"/>
      <c r="DK632" s="235"/>
      <c r="DL632" s="236"/>
      <c r="DM632" s="236"/>
      <c r="DN632" s="236"/>
    </row>
    <row r="633" spans="46:118" x14ac:dyDescent="0.3">
      <c r="AT633" s="44" t="str">
        <f t="shared" si="124"/>
        <v>8_8T.LO.S</v>
      </c>
      <c r="AU633" s="18" t="s">
        <v>72</v>
      </c>
      <c r="AV633" s="18" t="s">
        <v>754</v>
      </c>
      <c r="AW633" s="20" t="s">
        <v>377</v>
      </c>
      <c r="AX633" s="228">
        <v>1220115</v>
      </c>
      <c r="AY633" s="229">
        <v>0</v>
      </c>
      <c r="BA633" s="91"/>
      <c r="CK633" s="160"/>
      <c r="CL633" s="18"/>
      <c r="CM633" s="18"/>
      <c r="CN633" s="18"/>
      <c r="CO633" s="18"/>
      <c r="CP633" s="18"/>
      <c r="DH633" s="232"/>
      <c r="DI633" s="234"/>
      <c r="DJ633" s="234"/>
      <c r="DK633" s="235"/>
      <c r="DL633" s="236"/>
      <c r="DM633" s="236"/>
      <c r="DN633" s="236"/>
    </row>
    <row r="634" spans="46:118" x14ac:dyDescent="0.3">
      <c r="AT634" s="44" t="str">
        <f t="shared" si="124"/>
        <v>9_10T.LO.S</v>
      </c>
      <c r="AU634" s="18" t="s">
        <v>72</v>
      </c>
      <c r="AV634" s="18" t="s">
        <v>783</v>
      </c>
      <c r="AW634" s="20" t="s">
        <v>377</v>
      </c>
      <c r="AX634" s="228">
        <v>1220115</v>
      </c>
      <c r="AY634" s="229">
        <v>0</v>
      </c>
      <c r="BA634" s="91"/>
      <c r="CK634" s="160"/>
      <c r="CL634" s="18"/>
      <c r="CM634" s="18"/>
      <c r="CN634" s="18"/>
      <c r="CO634" s="18"/>
      <c r="CP634" s="18"/>
      <c r="DH634" s="232"/>
      <c r="DI634" s="234"/>
      <c r="DJ634" s="234"/>
      <c r="DK634" s="235"/>
      <c r="DL634" s="236"/>
      <c r="DM634" s="236"/>
      <c r="DN634" s="236"/>
    </row>
    <row r="635" spans="46:118" x14ac:dyDescent="0.3">
      <c r="AT635" s="44" t="str">
        <f t="shared" si="124"/>
        <v>9_12T.LO.S</v>
      </c>
      <c r="AU635" s="18" t="s">
        <v>72</v>
      </c>
      <c r="AV635" s="18" t="s">
        <v>804</v>
      </c>
      <c r="AW635" s="20" t="s">
        <v>377</v>
      </c>
      <c r="AX635" s="228">
        <v>1220115</v>
      </c>
      <c r="AY635" s="229">
        <v>0</v>
      </c>
      <c r="BA635" s="91"/>
      <c r="CK635" s="160"/>
      <c r="CL635" s="18"/>
      <c r="CM635" s="18"/>
      <c r="CN635" s="18"/>
      <c r="CO635" s="18"/>
      <c r="CP635" s="18"/>
      <c r="DH635" s="232"/>
      <c r="DI635" s="234"/>
      <c r="DJ635" s="234"/>
      <c r="DK635" s="235"/>
      <c r="DL635" s="236"/>
      <c r="DM635" s="236"/>
      <c r="DN635" s="236"/>
    </row>
    <row r="636" spans="46:118" x14ac:dyDescent="0.3">
      <c r="AT636" s="44" t="str">
        <f t="shared" si="124"/>
        <v>9_13T.LO.S</v>
      </c>
      <c r="AU636" s="18" t="s">
        <v>72</v>
      </c>
      <c r="AV636" s="18" t="s">
        <v>837</v>
      </c>
      <c r="AW636" s="20" t="s">
        <v>377</v>
      </c>
      <c r="AX636" s="228">
        <v>1220115</v>
      </c>
      <c r="AY636" s="229">
        <v>0</v>
      </c>
      <c r="BA636" s="91"/>
      <c r="CK636" s="160"/>
      <c r="CL636" s="18"/>
      <c r="CM636" s="18"/>
      <c r="CN636" s="18"/>
      <c r="CO636" s="18"/>
      <c r="CP636" s="18"/>
      <c r="DH636" s="232"/>
      <c r="DI636" s="234"/>
      <c r="DJ636" s="234"/>
      <c r="DK636" s="235"/>
      <c r="DL636" s="236"/>
      <c r="DM636" s="236"/>
      <c r="DN636" s="236"/>
    </row>
    <row r="637" spans="46:118" x14ac:dyDescent="0.3">
      <c r="AT637" s="44" t="str">
        <f t="shared" si="124"/>
        <v>9_14T.LO.S</v>
      </c>
      <c r="AU637" s="18" t="s">
        <v>72</v>
      </c>
      <c r="AV637" s="18" t="s">
        <v>874</v>
      </c>
      <c r="AW637" s="20" t="s">
        <v>377</v>
      </c>
      <c r="AX637" s="228">
        <v>1220115</v>
      </c>
      <c r="AY637" s="229">
        <v>0</v>
      </c>
      <c r="BA637" s="91"/>
      <c r="CK637" s="160"/>
      <c r="CL637" s="18"/>
      <c r="CM637" s="18"/>
      <c r="CN637" s="18"/>
      <c r="CO637" s="18"/>
      <c r="CP637" s="18"/>
      <c r="DH637" s="232"/>
      <c r="DI637" s="234"/>
      <c r="DJ637" s="234"/>
      <c r="DK637" s="235"/>
      <c r="DL637" s="236"/>
      <c r="DM637" s="236"/>
      <c r="DN637" s="236"/>
    </row>
    <row r="638" spans="46:118" x14ac:dyDescent="0.3">
      <c r="AT638" s="44" t="str">
        <f t="shared" si="124"/>
        <v>10_12T.LO.W</v>
      </c>
      <c r="AU638" s="18" t="s">
        <v>72</v>
      </c>
      <c r="AV638" s="18" t="s">
        <v>813</v>
      </c>
      <c r="AW638" s="20" t="s">
        <v>113</v>
      </c>
      <c r="AX638" s="228">
        <v>1220115</v>
      </c>
      <c r="AY638" s="229">
        <v>0</v>
      </c>
      <c r="BA638" s="91"/>
      <c r="CK638" s="160"/>
      <c r="CL638" s="18"/>
      <c r="CM638" s="18"/>
      <c r="CN638" s="18"/>
      <c r="CO638" s="18"/>
      <c r="CP638" s="18"/>
      <c r="DH638" s="232"/>
      <c r="DI638" s="234"/>
      <c r="DJ638" s="234"/>
      <c r="DK638" s="235"/>
      <c r="DL638" s="236"/>
      <c r="DM638" s="236"/>
      <c r="DN638" s="236"/>
    </row>
    <row r="639" spans="46:118" x14ac:dyDescent="0.3">
      <c r="AT639" s="44" t="str">
        <f t="shared" si="124"/>
        <v>10_13T.LO.W</v>
      </c>
      <c r="AU639" s="18" t="s">
        <v>72</v>
      </c>
      <c r="AV639" s="18" t="s">
        <v>848</v>
      </c>
      <c r="AW639" s="20" t="s">
        <v>113</v>
      </c>
      <c r="AX639" s="228">
        <v>1220115</v>
      </c>
      <c r="AY639" s="229">
        <v>0</v>
      </c>
      <c r="BA639" s="91"/>
      <c r="CK639" s="160"/>
      <c r="CL639" s="18"/>
      <c r="CM639" s="18"/>
      <c r="CN639" s="18"/>
      <c r="CO639" s="18"/>
      <c r="CP639" s="18"/>
      <c r="DH639" s="232"/>
      <c r="DI639" s="234"/>
      <c r="DJ639" s="234"/>
      <c r="DK639" s="235"/>
      <c r="DL639" s="236"/>
      <c r="DM639" s="236"/>
      <c r="DN639" s="236"/>
    </row>
    <row r="640" spans="46:118" x14ac:dyDescent="0.3">
      <c r="AT640" s="44" t="str">
        <f t="shared" si="124"/>
        <v>10_14S.LO.W</v>
      </c>
      <c r="AU640" s="18" t="s">
        <v>72</v>
      </c>
      <c r="AV640" s="18" t="s">
        <v>1122</v>
      </c>
      <c r="AW640" s="20" t="s">
        <v>113</v>
      </c>
      <c r="AX640" s="228">
        <v>1220115</v>
      </c>
      <c r="AY640" s="229">
        <v>0</v>
      </c>
      <c r="BA640" s="91"/>
      <c r="CK640" s="160"/>
      <c r="CL640" s="18"/>
      <c r="CM640" s="18"/>
      <c r="CN640" s="18"/>
      <c r="CO640" s="18"/>
      <c r="CP640" s="18"/>
      <c r="DH640" s="232"/>
      <c r="DI640" s="234"/>
      <c r="DJ640" s="234"/>
      <c r="DK640" s="235"/>
      <c r="DL640" s="236"/>
      <c r="DM640" s="236"/>
      <c r="DN640" s="236"/>
    </row>
    <row r="641" spans="46:118" x14ac:dyDescent="0.3">
      <c r="AT641" s="44" t="str">
        <f t="shared" si="124"/>
        <v>10_14T.LO.W</v>
      </c>
      <c r="AU641" s="18" t="s">
        <v>72</v>
      </c>
      <c r="AV641" s="18" t="s">
        <v>887</v>
      </c>
      <c r="AW641" s="20" t="s">
        <v>113</v>
      </c>
      <c r="AX641" s="228">
        <v>1220115</v>
      </c>
      <c r="AY641" s="229">
        <v>0</v>
      </c>
      <c r="BA641" s="91"/>
      <c r="CK641" s="160"/>
      <c r="CL641" s="18"/>
      <c r="CM641" s="18"/>
      <c r="CN641" s="18"/>
      <c r="CO641" s="18"/>
      <c r="CP641" s="18"/>
      <c r="DH641" s="232"/>
      <c r="DI641" s="234"/>
      <c r="DJ641" s="234"/>
      <c r="DK641" s="235"/>
      <c r="DL641" s="236"/>
      <c r="DM641" s="236"/>
      <c r="DN641" s="236"/>
    </row>
    <row r="642" spans="46:118" x14ac:dyDescent="0.3">
      <c r="AT642" s="44" t="str">
        <f t="shared" si="124"/>
        <v>11_12T.LO.W</v>
      </c>
      <c r="AU642" s="18" t="s">
        <v>72</v>
      </c>
      <c r="AV642" s="18" t="s">
        <v>825</v>
      </c>
      <c r="AW642" s="20" t="s">
        <v>113</v>
      </c>
      <c r="AX642" s="228">
        <v>1220115</v>
      </c>
      <c r="AY642" s="229">
        <v>0</v>
      </c>
      <c r="BA642" s="91"/>
      <c r="CK642" s="160"/>
      <c r="CL642" s="18"/>
      <c r="CM642" s="18"/>
      <c r="CN642" s="18"/>
      <c r="CO642" s="18"/>
      <c r="CP642" s="18"/>
      <c r="DH642" s="232"/>
      <c r="DI642" s="234"/>
      <c r="DJ642" s="234"/>
      <c r="DK642" s="235"/>
      <c r="DL642" s="236"/>
      <c r="DM642" s="236"/>
      <c r="DN642" s="236"/>
    </row>
    <row r="643" spans="46:118" x14ac:dyDescent="0.3">
      <c r="AT643" s="44" t="str">
        <f t="shared" si="124"/>
        <v>11_13T.LO.W</v>
      </c>
      <c r="AU643" s="18" t="s">
        <v>72</v>
      </c>
      <c r="AV643" s="18" t="s">
        <v>857</v>
      </c>
      <c r="AW643" s="20" t="s">
        <v>113</v>
      </c>
      <c r="AX643" s="228">
        <v>1220115</v>
      </c>
      <c r="AY643" s="229">
        <v>0</v>
      </c>
      <c r="BA643" s="91"/>
      <c r="CK643" s="160"/>
      <c r="CL643" s="18"/>
      <c r="CM643" s="18"/>
      <c r="CN643" s="18"/>
      <c r="CO643" s="18"/>
      <c r="CP643" s="18"/>
      <c r="DH643" s="232"/>
      <c r="DI643" s="234"/>
      <c r="DJ643" s="234"/>
      <c r="DK643" s="235"/>
      <c r="DL643" s="236"/>
      <c r="DM643" s="236"/>
      <c r="DN643" s="236"/>
    </row>
    <row r="644" spans="46:118" x14ac:dyDescent="0.3">
      <c r="AT644" s="44" t="str">
        <f t="shared" si="124"/>
        <v>11_14T.LO.W</v>
      </c>
      <c r="AU644" s="18" t="s">
        <v>72</v>
      </c>
      <c r="AV644" s="18" t="s">
        <v>900</v>
      </c>
      <c r="AW644" s="20" t="s">
        <v>113</v>
      </c>
      <c r="AX644" s="228">
        <v>1220115</v>
      </c>
      <c r="AY644" s="229">
        <v>0</v>
      </c>
      <c r="BA644" s="91"/>
      <c r="CK644" s="160"/>
      <c r="CL644" s="18"/>
      <c r="CM644" s="18"/>
      <c r="CN644" s="20"/>
      <c r="CO644" s="18"/>
      <c r="CP644" s="18"/>
      <c r="DH644" s="232"/>
      <c r="DI644" s="234"/>
      <c r="DJ644" s="234"/>
      <c r="DK644" s="235"/>
      <c r="DL644" s="236"/>
      <c r="DM644" s="236"/>
      <c r="DN644" s="236"/>
    </row>
    <row r="645" spans="46:118" x14ac:dyDescent="0.3">
      <c r="AT645" s="44" t="str">
        <f t="shared" si="124"/>
        <v>12_13T.LO.W</v>
      </c>
      <c r="AU645" s="18" t="s">
        <v>72</v>
      </c>
      <c r="AV645" s="18" t="s">
        <v>865</v>
      </c>
      <c r="AW645" s="20" t="s">
        <v>113</v>
      </c>
      <c r="AX645" s="228">
        <v>1220115</v>
      </c>
      <c r="AY645" s="229">
        <v>0</v>
      </c>
      <c r="BA645" s="91"/>
      <c r="CK645" s="160"/>
      <c r="CL645" s="18"/>
      <c r="CM645" s="18"/>
      <c r="CN645" s="18"/>
      <c r="CO645" s="18"/>
      <c r="CP645" s="18"/>
      <c r="DH645" s="232"/>
      <c r="DI645" s="234"/>
      <c r="DJ645" s="234"/>
      <c r="DK645" s="235"/>
      <c r="DL645" s="236"/>
      <c r="DM645" s="236"/>
      <c r="DN645" s="236"/>
    </row>
    <row r="646" spans="46:118" x14ac:dyDescent="0.3">
      <c r="AT646" s="44" t="str">
        <f t="shared" si="124"/>
        <v>12_14F.LO.W</v>
      </c>
      <c r="AU646" s="18" t="s">
        <v>72</v>
      </c>
      <c r="AV646" s="18" t="s">
        <v>583</v>
      </c>
      <c r="AW646" s="20" t="s">
        <v>113</v>
      </c>
      <c r="AX646" s="228">
        <v>1220115</v>
      </c>
      <c r="AY646" s="229">
        <v>0</v>
      </c>
      <c r="BA646" s="91"/>
      <c r="CK646" s="160"/>
      <c r="CL646" s="18"/>
      <c r="CM646" s="18"/>
      <c r="CN646" s="18"/>
      <c r="CO646" s="18"/>
      <c r="CP646" s="18"/>
      <c r="DH646" s="232"/>
      <c r="DI646" s="234"/>
      <c r="DJ646" s="234"/>
      <c r="DK646" s="235"/>
      <c r="DL646" s="236"/>
      <c r="DM646" s="236"/>
      <c r="DN646" s="236"/>
    </row>
    <row r="647" spans="46:118" x14ac:dyDescent="0.3">
      <c r="AT647" s="44" t="str">
        <f t="shared" si="124"/>
        <v>12_14T.LO.W</v>
      </c>
      <c r="AU647" s="18" t="s">
        <v>72</v>
      </c>
      <c r="AV647" s="18" t="s">
        <v>913</v>
      </c>
      <c r="AW647" s="20" t="s">
        <v>113</v>
      </c>
      <c r="AX647" s="228">
        <v>1220115</v>
      </c>
      <c r="AY647" s="229">
        <v>0</v>
      </c>
      <c r="BA647" s="91"/>
      <c r="CK647" s="160"/>
      <c r="CL647" s="18"/>
      <c r="CM647" s="18"/>
      <c r="CN647" s="18"/>
      <c r="CO647" s="18"/>
      <c r="CP647" s="18"/>
      <c r="DH647" s="232"/>
      <c r="DI647" s="234"/>
      <c r="DJ647" s="234"/>
      <c r="DK647" s="235"/>
      <c r="DL647" s="236"/>
      <c r="DM647" s="236"/>
      <c r="DN647" s="236"/>
    </row>
    <row r="648" spans="46:118" x14ac:dyDescent="0.3">
      <c r="AT648" s="44" t="str">
        <f t="shared" si="124"/>
        <v>12_15T.LO.W</v>
      </c>
      <c r="AU648" s="18" t="s">
        <v>72</v>
      </c>
      <c r="AV648" s="18" t="s">
        <v>941</v>
      </c>
      <c r="AW648" s="20" t="s">
        <v>113</v>
      </c>
      <c r="AX648" s="228">
        <v>1220115</v>
      </c>
      <c r="AY648" s="229">
        <v>0</v>
      </c>
      <c r="BA648" s="91"/>
      <c r="CK648" s="160"/>
      <c r="CL648" s="18"/>
      <c r="CM648" s="18"/>
      <c r="CN648" s="18"/>
      <c r="CO648" s="18"/>
      <c r="CP648" s="18"/>
      <c r="DH648" s="232"/>
      <c r="DI648" s="234"/>
      <c r="DJ648" s="234"/>
      <c r="DK648" s="235"/>
      <c r="DL648" s="236"/>
      <c r="DM648" s="236"/>
      <c r="DN648" s="236"/>
    </row>
    <row r="649" spans="46:118" x14ac:dyDescent="0.3">
      <c r="AT649" s="44" t="str">
        <f t="shared" si="124"/>
        <v>12_18B.LO.W</v>
      </c>
      <c r="AU649" s="18" t="s">
        <v>72</v>
      </c>
      <c r="AV649" s="18" t="s">
        <v>133</v>
      </c>
      <c r="AW649" s="20" t="s">
        <v>113</v>
      </c>
      <c r="AX649" s="228">
        <v>1220115</v>
      </c>
      <c r="AY649" s="229">
        <v>0</v>
      </c>
      <c r="BA649" s="91"/>
      <c r="CK649" s="160"/>
      <c r="CL649" s="18"/>
      <c r="CM649" s="18"/>
      <c r="CN649" s="18"/>
      <c r="CO649" s="18"/>
      <c r="CP649" s="18"/>
      <c r="DH649" s="232"/>
      <c r="DI649" s="234"/>
      <c r="DJ649" s="234"/>
      <c r="DK649" s="235"/>
      <c r="DL649" s="236"/>
      <c r="DM649" s="236"/>
      <c r="DN649" s="236"/>
    </row>
    <row r="650" spans="46:118" x14ac:dyDescent="0.3">
      <c r="AT650" s="44" t="str">
        <f t="shared" si="124"/>
        <v>12_20B.LO.W</v>
      </c>
      <c r="AU650" s="18" t="s">
        <v>72</v>
      </c>
      <c r="AV650" s="18" t="s">
        <v>217</v>
      </c>
      <c r="AW650" s="20" t="s">
        <v>113</v>
      </c>
      <c r="AX650" s="228">
        <v>1220115</v>
      </c>
      <c r="AY650" s="229">
        <v>0</v>
      </c>
      <c r="BA650" s="91"/>
      <c r="CK650" s="160"/>
      <c r="CL650" s="18"/>
      <c r="CM650" s="18"/>
      <c r="CN650" s="18"/>
      <c r="CO650" s="18"/>
      <c r="CP650" s="18"/>
      <c r="DH650" s="232"/>
      <c r="DI650" s="234"/>
      <c r="DJ650" s="234"/>
      <c r="DK650" s="235"/>
      <c r="DL650" s="236"/>
      <c r="DM650" s="236"/>
      <c r="DN650" s="236"/>
    </row>
    <row r="651" spans="46:118" x14ac:dyDescent="0.3">
      <c r="AT651" s="44" t="str">
        <f t="shared" si="124"/>
        <v>12_22B.LO.W</v>
      </c>
      <c r="AU651" s="18" t="s">
        <v>72</v>
      </c>
      <c r="AV651" s="18" t="s">
        <v>330</v>
      </c>
      <c r="AW651" s="20" t="s">
        <v>113</v>
      </c>
      <c r="AX651" s="228">
        <v>1220115</v>
      </c>
      <c r="AY651" s="229">
        <v>0</v>
      </c>
      <c r="BA651" s="91"/>
      <c r="CK651" s="160"/>
      <c r="CL651" s="18"/>
      <c r="CM651" s="18"/>
      <c r="CN651" s="18"/>
      <c r="CO651" s="18"/>
      <c r="CP651" s="18"/>
      <c r="DH651" s="232"/>
      <c r="DI651" s="234"/>
      <c r="DJ651" s="234"/>
      <c r="DK651" s="235"/>
      <c r="DL651" s="236"/>
      <c r="DM651" s="236"/>
      <c r="DN651" s="236"/>
    </row>
    <row r="652" spans="46:118" x14ac:dyDescent="0.3">
      <c r="AT652" s="44" t="str">
        <f t="shared" si="124"/>
        <v>12_24B.LO.W</v>
      </c>
      <c r="AU652" s="18" t="s">
        <v>72</v>
      </c>
      <c r="AV652" s="18" t="s">
        <v>413</v>
      </c>
      <c r="AW652" s="20" t="s">
        <v>113</v>
      </c>
      <c r="AX652" s="228">
        <v>1220115</v>
      </c>
      <c r="AY652" s="229">
        <v>0</v>
      </c>
      <c r="BA652" s="91"/>
      <c r="CK652" s="160"/>
      <c r="CL652" s="18"/>
      <c r="CM652" s="18"/>
      <c r="CN652" s="18"/>
      <c r="CO652" s="18"/>
      <c r="CP652" s="18"/>
      <c r="DH652" s="232"/>
      <c r="DI652" s="234"/>
      <c r="DJ652" s="234"/>
      <c r="DK652" s="235"/>
      <c r="DL652" s="236"/>
      <c r="DM652" s="236"/>
      <c r="DN652" s="236"/>
    </row>
    <row r="653" spans="46:118" x14ac:dyDescent="0.3">
      <c r="AT653" s="44" t="str">
        <f t="shared" si="124"/>
        <v>12_26B.LO.W</v>
      </c>
      <c r="AU653" s="18" t="s">
        <v>72</v>
      </c>
      <c r="AV653" s="18" t="s">
        <v>494</v>
      </c>
      <c r="AW653" s="20" t="s">
        <v>113</v>
      </c>
      <c r="AX653" s="228">
        <v>1220115</v>
      </c>
      <c r="AY653" s="229">
        <v>0</v>
      </c>
      <c r="BA653" s="91"/>
      <c r="CK653" s="160"/>
      <c r="CL653" s="18"/>
      <c r="CM653" s="18"/>
      <c r="CN653" s="18"/>
      <c r="CO653" s="18"/>
      <c r="CP653" s="18"/>
      <c r="DH653" s="232"/>
      <c r="DI653" s="234"/>
      <c r="DJ653" s="234"/>
      <c r="DK653" s="235"/>
      <c r="DL653" s="236"/>
      <c r="DM653" s="236"/>
      <c r="DN653" s="236"/>
    </row>
    <row r="654" spans="46:118" x14ac:dyDescent="0.3">
      <c r="AT654" s="44" t="str">
        <f t="shared" si="124"/>
        <v>13_14F.LO.W</v>
      </c>
      <c r="AU654" s="18" t="s">
        <v>72</v>
      </c>
      <c r="AV654" s="18" t="s">
        <v>602</v>
      </c>
      <c r="AW654" s="20" t="s">
        <v>113</v>
      </c>
      <c r="AX654" s="228">
        <v>1220115</v>
      </c>
      <c r="AY654" s="229">
        <v>0</v>
      </c>
      <c r="BA654" s="91"/>
      <c r="CK654" s="160"/>
      <c r="CL654" s="18"/>
      <c r="CM654" s="18"/>
      <c r="CN654" s="18"/>
      <c r="CO654" s="18"/>
      <c r="CP654" s="18"/>
      <c r="DH654" s="232"/>
      <c r="DI654" s="234"/>
      <c r="DJ654" s="234"/>
      <c r="DK654" s="235"/>
      <c r="DL654" s="236"/>
      <c r="DM654" s="236"/>
      <c r="DN654" s="236"/>
    </row>
    <row r="655" spans="46:118" x14ac:dyDescent="0.3">
      <c r="AT655" s="44" t="str">
        <f t="shared" si="124"/>
        <v>13_14T.LO.W</v>
      </c>
      <c r="AU655" s="18" t="s">
        <v>72</v>
      </c>
      <c r="AV655" s="18" t="s">
        <v>926</v>
      </c>
      <c r="AW655" s="20" t="s">
        <v>113</v>
      </c>
      <c r="AX655" s="228">
        <v>1220115</v>
      </c>
      <c r="AY655" s="229">
        <v>0</v>
      </c>
      <c r="BA655" s="91"/>
      <c r="CK655" s="160"/>
      <c r="CL655" s="18"/>
      <c r="CM655" s="18"/>
      <c r="CN655" s="18"/>
      <c r="CO655" s="18"/>
      <c r="CP655" s="18"/>
      <c r="DH655" s="232"/>
      <c r="DI655" s="234"/>
      <c r="DJ655" s="234"/>
      <c r="DK655" s="235"/>
      <c r="DL655" s="236"/>
      <c r="DM655" s="236"/>
      <c r="DN655" s="236"/>
    </row>
    <row r="656" spans="46:118" x14ac:dyDescent="0.3">
      <c r="AT656" s="44" t="str">
        <f t="shared" si="124"/>
        <v>13_15F.LO.W</v>
      </c>
      <c r="AU656" s="18" t="s">
        <v>72</v>
      </c>
      <c r="AV656" s="18" t="s">
        <v>630</v>
      </c>
      <c r="AW656" s="20" t="s">
        <v>113</v>
      </c>
      <c r="AX656" s="228">
        <v>1220115</v>
      </c>
      <c r="AY656" s="229">
        <v>0</v>
      </c>
      <c r="BA656" s="91"/>
      <c r="CK656" s="160"/>
      <c r="CL656" s="18"/>
      <c r="CM656" s="18"/>
      <c r="CN656" s="18"/>
      <c r="CO656" s="18"/>
      <c r="CP656" s="18"/>
      <c r="DH656" s="232"/>
      <c r="DI656" s="234"/>
      <c r="DJ656" s="234"/>
      <c r="DK656" s="235"/>
      <c r="DL656" s="236"/>
      <c r="DM656" s="236"/>
      <c r="DN656" s="236"/>
    </row>
    <row r="657" spans="46:118" x14ac:dyDescent="0.3">
      <c r="AT657" s="44" t="str">
        <f t="shared" si="124"/>
        <v>13_15T.LO.W</v>
      </c>
      <c r="AU657" s="18" t="s">
        <v>72</v>
      </c>
      <c r="AV657" s="18" t="s">
        <v>949</v>
      </c>
      <c r="AW657" s="20" t="s">
        <v>113</v>
      </c>
      <c r="AX657" s="228">
        <v>1220115</v>
      </c>
      <c r="AY657" s="229">
        <v>0</v>
      </c>
      <c r="BA657" s="91"/>
      <c r="CK657" s="160"/>
      <c r="CL657" s="18"/>
      <c r="CM657" s="18"/>
      <c r="CN657" s="18"/>
      <c r="CO657" s="18"/>
      <c r="CP657" s="18"/>
      <c r="DH657" s="232"/>
      <c r="DI657" s="234"/>
      <c r="DJ657" s="234"/>
      <c r="DK657" s="235"/>
      <c r="DL657" s="236"/>
      <c r="DM657" s="236"/>
      <c r="DN657" s="236"/>
    </row>
    <row r="658" spans="46:118" x14ac:dyDescent="0.3">
      <c r="AT658" s="44" t="str">
        <f t="shared" si="124"/>
        <v>13_16F.LO.W</v>
      </c>
      <c r="AU658" s="18" t="s">
        <v>72</v>
      </c>
      <c r="AV658" s="18" t="s">
        <v>665</v>
      </c>
      <c r="AW658" s="20" t="s">
        <v>113</v>
      </c>
      <c r="AX658" s="228">
        <v>1220115</v>
      </c>
      <c r="AY658" s="229">
        <v>0</v>
      </c>
      <c r="BA658" s="91"/>
      <c r="CK658" s="160"/>
      <c r="CL658" s="18"/>
      <c r="CM658" s="18"/>
      <c r="CN658" s="18"/>
      <c r="CO658" s="18"/>
      <c r="CP658" s="18"/>
      <c r="DH658" s="232"/>
      <c r="DI658" s="234"/>
      <c r="DJ658" s="234"/>
      <c r="DK658" s="235"/>
      <c r="DL658" s="236"/>
      <c r="DM658" s="236"/>
      <c r="DN658" s="236"/>
    </row>
    <row r="659" spans="46:118" x14ac:dyDescent="0.3">
      <c r="AT659" s="44" t="str">
        <f t="shared" ref="AT659:AT722" si="125">CONCATENATE(AV659,".",AU659,".",AW659)</f>
        <v>14_14F.LO.W</v>
      </c>
      <c r="AU659" s="18" t="s">
        <v>72</v>
      </c>
      <c r="AV659" s="18" t="s">
        <v>616</v>
      </c>
      <c r="AW659" s="20" t="s">
        <v>113</v>
      </c>
      <c r="AX659" s="228">
        <v>1220115</v>
      </c>
      <c r="AY659" s="229">
        <v>0</v>
      </c>
      <c r="BA659" s="91"/>
      <c r="CK659" s="160"/>
      <c r="CL659" s="18"/>
      <c r="CM659" s="18"/>
      <c r="CN659" s="18"/>
      <c r="CO659" s="18"/>
      <c r="CP659" s="18"/>
      <c r="DH659" s="232"/>
      <c r="DI659" s="234"/>
      <c r="DJ659" s="234"/>
      <c r="DK659" s="235"/>
      <c r="DL659" s="236"/>
      <c r="DM659" s="236"/>
      <c r="DN659" s="236"/>
    </row>
    <row r="660" spans="46:118" x14ac:dyDescent="0.3">
      <c r="AT660" s="44" t="str">
        <f t="shared" si="125"/>
        <v>14_14T.LO.W</v>
      </c>
      <c r="AU660" s="18" t="s">
        <v>72</v>
      </c>
      <c r="AV660" s="18" t="s">
        <v>933</v>
      </c>
      <c r="AW660" s="20" t="s">
        <v>113</v>
      </c>
      <c r="AX660" s="228">
        <v>1220115</v>
      </c>
      <c r="AY660" s="229">
        <v>0</v>
      </c>
      <c r="BA660" s="91"/>
      <c r="CK660" s="160"/>
      <c r="CL660" s="18"/>
      <c r="CM660" s="18"/>
      <c r="CN660" s="18"/>
      <c r="CO660" s="18"/>
      <c r="CP660" s="18"/>
      <c r="DH660" s="232"/>
      <c r="DI660" s="234"/>
      <c r="DJ660" s="234"/>
      <c r="DK660" s="235"/>
      <c r="DL660" s="236"/>
      <c r="DM660" s="236"/>
      <c r="DN660" s="236"/>
    </row>
    <row r="661" spans="46:118" x14ac:dyDescent="0.3">
      <c r="AT661" s="44" t="str">
        <f t="shared" si="125"/>
        <v>14_15F.LO.W</v>
      </c>
      <c r="AU661" s="18" t="s">
        <v>72</v>
      </c>
      <c r="AV661" s="18" t="s">
        <v>647</v>
      </c>
      <c r="AW661" s="20" t="s">
        <v>113</v>
      </c>
      <c r="AX661" s="228">
        <v>1220115</v>
      </c>
      <c r="AY661" s="229">
        <v>0</v>
      </c>
      <c r="BA661" s="91"/>
      <c r="CK661" s="160"/>
      <c r="CL661" s="18"/>
      <c r="CM661" s="18"/>
      <c r="CN661" s="18"/>
      <c r="CO661" s="18"/>
      <c r="CP661" s="18"/>
      <c r="DH661" s="232"/>
      <c r="DI661" s="234"/>
      <c r="DJ661" s="234"/>
      <c r="DK661" s="235"/>
      <c r="DL661" s="236"/>
      <c r="DM661" s="236"/>
      <c r="DN661" s="236"/>
    </row>
    <row r="662" spans="46:118" x14ac:dyDescent="0.3">
      <c r="AT662" s="44" t="str">
        <f t="shared" si="125"/>
        <v>14_15T.LO.W</v>
      </c>
      <c r="AU662" s="18" t="s">
        <v>72</v>
      </c>
      <c r="AV662" s="18" t="s">
        <v>956</v>
      </c>
      <c r="AW662" s="20" t="s">
        <v>113</v>
      </c>
      <c r="AX662" s="228">
        <v>1220115</v>
      </c>
      <c r="AY662" s="229">
        <v>0</v>
      </c>
      <c r="BA662" s="91"/>
      <c r="CK662" s="160"/>
      <c r="CL662" s="18"/>
      <c r="CM662" s="18"/>
      <c r="CN662" s="18"/>
      <c r="CO662" s="18"/>
      <c r="CP662" s="18"/>
      <c r="DH662" s="232"/>
      <c r="DI662" s="234"/>
      <c r="DJ662" s="234"/>
      <c r="DK662" s="235"/>
      <c r="DL662" s="236"/>
      <c r="DM662" s="236"/>
      <c r="DN662" s="236"/>
    </row>
    <row r="663" spans="46:118" x14ac:dyDescent="0.3">
      <c r="AT663" s="44" t="str">
        <f t="shared" si="125"/>
        <v>14_16F.LO.W</v>
      </c>
      <c r="AU663" s="18" t="s">
        <v>72</v>
      </c>
      <c r="AV663" s="18" t="s">
        <v>681</v>
      </c>
      <c r="AW663" s="20" t="s">
        <v>113</v>
      </c>
      <c r="AX663" s="228">
        <v>1220115</v>
      </c>
      <c r="AY663" s="229">
        <v>0</v>
      </c>
      <c r="BA663" s="91"/>
      <c r="CK663" s="160"/>
      <c r="CL663" s="18"/>
      <c r="CM663" s="18"/>
      <c r="CN663" s="18"/>
      <c r="CO663" s="18"/>
      <c r="CP663" s="18"/>
      <c r="DH663" s="232"/>
      <c r="DI663" s="234"/>
      <c r="DJ663" s="234"/>
      <c r="DK663" s="235"/>
      <c r="DL663" s="236"/>
      <c r="DM663" s="236"/>
      <c r="DN663" s="236"/>
    </row>
    <row r="664" spans="46:118" x14ac:dyDescent="0.3">
      <c r="AT664" s="44" t="str">
        <f t="shared" si="125"/>
        <v>14_16T.LO.W</v>
      </c>
      <c r="AU664" s="18" t="s">
        <v>72</v>
      </c>
      <c r="AV664" s="18" t="s">
        <v>970</v>
      </c>
      <c r="AW664" s="20" t="s">
        <v>113</v>
      </c>
      <c r="AX664" s="228">
        <v>1220115</v>
      </c>
      <c r="AY664" s="229">
        <v>0</v>
      </c>
      <c r="BA664" s="91"/>
      <c r="CK664" s="160"/>
      <c r="CL664" s="18"/>
      <c r="CM664" s="18"/>
      <c r="CN664" s="18"/>
      <c r="CO664" s="18"/>
      <c r="CP664" s="18"/>
      <c r="DH664" s="232"/>
      <c r="DI664" s="234"/>
      <c r="DJ664" s="234"/>
      <c r="DK664" s="235"/>
      <c r="DL664" s="236"/>
      <c r="DM664" s="236"/>
      <c r="DN664" s="236"/>
    </row>
    <row r="665" spans="46:118" x14ac:dyDescent="0.3">
      <c r="AT665" s="44" t="str">
        <f t="shared" si="125"/>
        <v>14_18B.LO.W</v>
      </c>
      <c r="AU665" s="18" t="s">
        <v>72</v>
      </c>
      <c r="AV665" s="18" t="s">
        <v>160</v>
      </c>
      <c r="AW665" s="20" t="s">
        <v>113</v>
      </c>
      <c r="AX665" s="228">
        <v>1220115</v>
      </c>
      <c r="AY665" s="229">
        <v>0</v>
      </c>
      <c r="BA665" s="91"/>
      <c r="CK665" s="160"/>
      <c r="CL665" s="18"/>
      <c r="CM665" s="18"/>
      <c r="CN665" s="18"/>
      <c r="CO665" s="18"/>
      <c r="CP665" s="18"/>
      <c r="DH665" s="232"/>
      <c r="DI665" s="234"/>
      <c r="DJ665" s="234"/>
      <c r="DK665" s="235"/>
      <c r="DL665" s="236"/>
      <c r="DM665" s="236"/>
      <c r="DN665" s="236"/>
    </row>
    <row r="666" spans="46:118" x14ac:dyDescent="0.3">
      <c r="AT666" s="44" t="str">
        <f t="shared" si="125"/>
        <v>14_20B.LO.W</v>
      </c>
      <c r="AU666" s="18" t="s">
        <v>72</v>
      </c>
      <c r="AV666" s="18" t="s">
        <v>253</v>
      </c>
      <c r="AW666" s="20" t="s">
        <v>113</v>
      </c>
      <c r="AX666" s="228">
        <v>1220115</v>
      </c>
      <c r="AY666" s="229">
        <v>0</v>
      </c>
      <c r="BA666" s="91"/>
      <c r="CK666" s="160"/>
      <c r="CL666" s="18"/>
      <c r="CM666" s="18"/>
      <c r="CN666" s="18"/>
      <c r="CO666" s="18"/>
      <c r="CP666" s="18"/>
      <c r="DH666" s="232"/>
      <c r="DI666" s="234"/>
      <c r="DJ666" s="234"/>
      <c r="DK666" s="235"/>
      <c r="DL666" s="236"/>
      <c r="DM666" s="236"/>
      <c r="DN666" s="236"/>
    </row>
    <row r="667" spans="46:118" x14ac:dyDescent="0.3">
      <c r="AT667" s="44" t="str">
        <f t="shared" si="125"/>
        <v>14_22B.LO.W</v>
      </c>
      <c r="AU667" s="18" t="s">
        <v>72</v>
      </c>
      <c r="AV667" s="18" t="s">
        <v>346</v>
      </c>
      <c r="AW667" s="20" t="s">
        <v>113</v>
      </c>
      <c r="AX667" s="228">
        <v>1220115</v>
      </c>
      <c r="AY667" s="229">
        <v>0</v>
      </c>
      <c r="BA667" s="91"/>
      <c r="CK667" s="160"/>
      <c r="CL667" s="18"/>
      <c r="CM667" s="18"/>
      <c r="CN667" s="18"/>
      <c r="CO667" s="18"/>
      <c r="CP667" s="18"/>
      <c r="DH667" s="232"/>
      <c r="DI667" s="234"/>
      <c r="DJ667" s="234"/>
      <c r="DK667" s="235"/>
      <c r="DL667" s="236"/>
      <c r="DM667" s="236"/>
      <c r="DN667" s="236"/>
    </row>
    <row r="668" spans="46:118" x14ac:dyDescent="0.3">
      <c r="AT668" s="44" t="str">
        <f t="shared" si="125"/>
        <v>14_24B.LO.W</v>
      </c>
      <c r="AU668" s="18" t="s">
        <v>72</v>
      </c>
      <c r="AV668" s="18" t="s">
        <v>428</v>
      </c>
      <c r="AW668" s="20" t="s">
        <v>113</v>
      </c>
      <c r="AX668" s="228">
        <v>1220115</v>
      </c>
      <c r="AY668" s="229">
        <v>0</v>
      </c>
      <c r="BA668" s="91"/>
      <c r="CK668" s="160"/>
      <c r="CL668" s="18"/>
      <c r="CM668" s="18"/>
      <c r="CN668" s="18"/>
      <c r="CO668" s="18"/>
      <c r="CP668" s="18"/>
      <c r="DH668" s="232"/>
      <c r="DI668" s="234"/>
      <c r="DJ668" s="234"/>
      <c r="DK668" s="235"/>
      <c r="DL668" s="236"/>
      <c r="DM668" s="236"/>
      <c r="DN668" s="236"/>
    </row>
    <row r="669" spans="46:118" x14ac:dyDescent="0.3">
      <c r="AT669" s="44" t="str">
        <f t="shared" si="125"/>
        <v>14_26B.LO.W</v>
      </c>
      <c r="AU669" s="18" t="s">
        <v>72</v>
      </c>
      <c r="AV669" s="18" t="s">
        <v>512</v>
      </c>
      <c r="AW669" s="20" t="s">
        <v>113</v>
      </c>
      <c r="AX669" s="228">
        <v>1220115</v>
      </c>
      <c r="AY669" s="229">
        <v>0</v>
      </c>
      <c r="BA669" s="91"/>
      <c r="CK669" s="160"/>
      <c r="CL669" s="18"/>
      <c r="CM669" s="18"/>
      <c r="CN669" s="18"/>
      <c r="CO669" s="18"/>
      <c r="CP669" s="18"/>
      <c r="DH669" s="232"/>
      <c r="DI669" s="234"/>
      <c r="DJ669" s="234"/>
      <c r="DK669" s="235"/>
      <c r="DL669" s="236"/>
      <c r="DM669" s="236"/>
      <c r="DN669" s="236"/>
    </row>
    <row r="670" spans="46:118" x14ac:dyDescent="0.3">
      <c r="AT670" s="44" t="str">
        <f t="shared" si="125"/>
        <v>15_16F.LO.W</v>
      </c>
      <c r="AU670" s="18" t="s">
        <v>72</v>
      </c>
      <c r="AV670" s="18" t="s">
        <v>698</v>
      </c>
      <c r="AW670" s="20" t="s">
        <v>113</v>
      </c>
      <c r="AX670" s="228">
        <v>1220115</v>
      </c>
      <c r="AY670" s="229">
        <v>0</v>
      </c>
      <c r="BA670" s="91"/>
      <c r="CK670" s="160"/>
      <c r="CL670" s="18"/>
      <c r="CM670" s="18"/>
      <c r="CN670" s="18"/>
      <c r="CO670" s="18"/>
      <c r="CP670" s="18"/>
      <c r="DH670" s="232"/>
      <c r="DI670" s="234"/>
      <c r="DJ670" s="234"/>
      <c r="DK670" s="235"/>
      <c r="DL670" s="236"/>
      <c r="DM670" s="236"/>
      <c r="DN670" s="236"/>
    </row>
    <row r="671" spans="46:118" x14ac:dyDescent="0.3">
      <c r="AT671" s="44" t="str">
        <f t="shared" si="125"/>
        <v>16_16F.LO.W</v>
      </c>
      <c r="AU671" s="18" t="s">
        <v>72</v>
      </c>
      <c r="AV671" s="18" t="s">
        <v>714</v>
      </c>
      <c r="AW671" s="20" t="s">
        <v>113</v>
      </c>
      <c r="AX671" s="228">
        <v>1220115</v>
      </c>
      <c r="AY671" s="229">
        <v>0</v>
      </c>
      <c r="BA671" s="91"/>
      <c r="CK671" s="160"/>
      <c r="CL671" s="18"/>
      <c r="CM671" s="18"/>
      <c r="CN671" s="18"/>
      <c r="CO671" s="18"/>
      <c r="CP671" s="18"/>
      <c r="DH671" s="232"/>
      <c r="DI671" s="234"/>
      <c r="DJ671" s="234"/>
      <c r="DK671" s="235"/>
      <c r="DL671" s="236"/>
      <c r="DM671" s="236"/>
      <c r="DN671" s="236"/>
    </row>
    <row r="672" spans="46:118" x14ac:dyDescent="0.3">
      <c r="AT672" s="44" t="str">
        <f t="shared" si="125"/>
        <v>16_16T.LO.W</v>
      </c>
      <c r="AU672" s="18" t="s">
        <v>72</v>
      </c>
      <c r="AV672" s="18" t="s">
        <v>985</v>
      </c>
      <c r="AW672" s="20" t="s">
        <v>113</v>
      </c>
      <c r="AX672" s="228">
        <v>1220115</v>
      </c>
      <c r="AY672" s="229">
        <v>0</v>
      </c>
      <c r="BA672" s="91"/>
      <c r="CK672" s="160"/>
      <c r="CL672" s="18"/>
      <c r="CM672" s="18"/>
      <c r="CN672" s="18"/>
      <c r="CO672" s="18"/>
      <c r="CP672" s="18"/>
      <c r="DH672" s="232"/>
      <c r="DI672" s="234"/>
      <c r="DJ672" s="234"/>
      <c r="DK672" s="235"/>
      <c r="DL672" s="236"/>
      <c r="DM672" s="236"/>
      <c r="DN672" s="236"/>
    </row>
    <row r="673" spans="46:118" x14ac:dyDescent="0.3">
      <c r="AT673" s="44" t="str">
        <f t="shared" si="125"/>
        <v>16_18B.LO.W</v>
      </c>
      <c r="AU673" s="18" t="s">
        <v>72</v>
      </c>
      <c r="AV673" s="18" t="s">
        <v>186</v>
      </c>
      <c r="AW673" s="20" t="s">
        <v>113</v>
      </c>
      <c r="AX673" s="228">
        <v>1220115</v>
      </c>
      <c r="AY673" s="229">
        <v>0</v>
      </c>
      <c r="BA673" s="91"/>
      <c r="CK673" s="160"/>
      <c r="CL673" s="18"/>
      <c r="CM673" s="18"/>
      <c r="CN673" s="18"/>
      <c r="CO673" s="18"/>
      <c r="CP673" s="18"/>
      <c r="DH673" s="232"/>
      <c r="DI673" s="234"/>
      <c r="DJ673" s="234"/>
      <c r="DK673" s="235"/>
      <c r="DL673" s="236"/>
      <c r="DM673" s="236"/>
      <c r="DN673" s="236"/>
    </row>
    <row r="674" spans="46:118" x14ac:dyDescent="0.3">
      <c r="AT674" s="44" t="str">
        <f t="shared" si="125"/>
        <v>16_18F.LO.W</v>
      </c>
      <c r="AU674" s="18" t="s">
        <v>72</v>
      </c>
      <c r="AV674" s="18" t="s">
        <v>726</v>
      </c>
      <c r="AW674" s="20" t="s">
        <v>113</v>
      </c>
      <c r="AX674" s="228">
        <v>1220115</v>
      </c>
      <c r="AY674" s="229">
        <v>0</v>
      </c>
      <c r="BA674" s="91"/>
      <c r="CK674" s="160"/>
      <c r="CL674" s="18"/>
      <c r="CM674" s="18"/>
      <c r="CN674" s="18"/>
      <c r="CO674" s="18"/>
      <c r="CP674" s="18"/>
      <c r="DH674" s="232"/>
      <c r="DI674" s="234"/>
      <c r="DJ674" s="234"/>
      <c r="DK674" s="235"/>
      <c r="DL674" s="236"/>
      <c r="DM674" s="236"/>
      <c r="DN674" s="236"/>
    </row>
    <row r="675" spans="46:118" x14ac:dyDescent="0.3">
      <c r="AT675" s="44" t="str">
        <f t="shared" si="125"/>
        <v>16_20B.LO.W</v>
      </c>
      <c r="AU675" s="18" t="s">
        <v>72</v>
      </c>
      <c r="AV675" s="18" t="s">
        <v>293</v>
      </c>
      <c r="AW675" s="20" t="s">
        <v>113</v>
      </c>
      <c r="AX675" s="228">
        <v>1220115</v>
      </c>
      <c r="AY675" s="229">
        <v>0</v>
      </c>
      <c r="BA675" s="91"/>
      <c r="CK675" s="160"/>
      <c r="CL675" s="18"/>
      <c r="CM675" s="18"/>
      <c r="CN675" s="18"/>
      <c r="CO675" s="18"/>
      <c r="CP675" s="18"/>
      <c r="DH675" s="232"/>
      <c r="DI675" s="234"/>
      <c r="DJ675" s="234"/>
      <c r="DK675" s="235"/>
      <c r="DL675" s="236"/>
      <c r="DM675" s="236"/>
      <c r="DN675" s="236"/>
    </row>
    <row r="676" spans="46:118" x14ac:dyDescent="0.3">
      <c r="AT676" s="44" t="str">
        <f t="shared" si="125"/>
        <v>16_22B.LO.W</v>
      </c>
      <c r="AU676" s="18" t="s">
        <v>72</v>
      </c>
      <c r="AV676" s="18" t="s">
        <v>365</v>
      </c>
      <c r="AW676" s="20" t="s">
        <v>113</v>
      </c>
      <c r="AX676" s="228">
        <v>1220115</v>
      </c>
      <c r="AY676" s="229">
        <v>0</v>
      </c>
      <c r="BA676" s="91"/>
      <c r="CK676" s="160"/>
      <c r="CL676" s="18"/>
      <c r="CM676" s="18"/>
      <c r="CN676" s="18"/>
      <c r="CO676" s="18"/>
      <c r="CP676" s="18"/>
      <c r="DH676" s="232"/>
      <c r="DI676" s="234"/>
      <c r="DJ676" s="234"/>
      <c r="DK676" s="235"/>
      <c r="DL676" s="236"/>
      <c r="DM676" s="236"/>
      <c r="DN676" s="236"/>
    </row>
    <row r="677" spans="46:118" x14ac:dyDescent="0.3">
      <c r="AT677" s="44" t="str">
        <f t="shared" si="125"/>
        <v>16_24B.LO.W</v>
      </c>
      <c r="AU677" s="18" t="s">
        <v>72</v>
      </c>
      <c r="AV677" s="18" t="s">
        <v>444</v>
      </c>
      <c r="AW677" s="20" t="s">
        <v>113</v>
      </c>
      <c r="AX677" s="228">
        <v>1220115</v>
      </c>
      <c r="AY677" s="229">
        <v>0</v>
      </c>
      <c r="BA677" s="91"/>
      <c r="CK677" s="160"/>
      <c r="CL677" s="18"/>
      <c r="CM677" s="18"/>
      <c r="CN677" s="18"/>
      <c r="CO677" s="18"/>
      <c r="CP677" s="18"/>
      <c r="DH677" s="232"/>
      <c r="DI677" s="234"/>
      <c r="DJ677" s="234"/>
      <c r="DK677" s="235"/>
      <c r="DL677" s="236"/>
      <c r="DM677" s="236"/>
      <c r="DN677" s="236"/>
    </row>
    <row r="678" spans="46:118" x14ac:dyDescent="0.3">
      <c r="AT678" s="44" t="str">
        <f t="shared" si="125"/>
        <v>16_26B.LO.W</v>
      </c>
      <c r="AU678" s="18" t="s">
        <v>72</v>
      </c>
      <c r="AV678" s="18" t="s">
        <v>532</v>
      </c>
      <c r="AW678" s="20" t="s">
        <v>113</v>
      </c>
      <c r="AX678" s="228">
        <v>1220115</v>
      </c>
      <c r="AY678" s="229">
        <v>0</v>
      </c>
      <c r="BA678" s="91"/>
      <c r="CK678" s="160"/>
      <c r="CL678" s="18"/>
      <c r="CM678" s="18"/>
      <c r="CN678" s="18"/>
      <c r="CO678" s="18"/>
      <c r="CP678" s="18"/>
      <c r="DH678" s="232"/>
      <c r="DI678" s="234"/>
      <c r="DJ678" s="234"/>
      <c r="DK678" s="235"/>
      <c r="DL678" s="236"/>
      <c r="DM678" s="236"/>
      <c r="DN678" s="236"/>
    </row>
    <row r="679" spans="46:118" x14ac:dyDescent="0.3">
      <c r="AT679" s="44" t="str">
        <f t="shared" si="125"/>
        <v>18_20B.LO.W</v>
      </c>
      <c r="AU679" s="18" t="s">
        <v>72</v>
      </c>
      <c r="AV679" s="18" t="s">
        <v>312</v>
      </c>
      <c r="AW679" s="20" t="s">
        <v>113</v>
      </c>
      <c r="AX679" s="228">
        <v>1220115</v>
      </c>
      <c r="AY679" s="229">
        <v>0</v>
      </c>
      <c r="BA679" s="91"/>
      <c r="CK679" s="160"/>
      <c r="CL679" s="18"/>
      <c r="CM679" s="18"/>
      <c r="CN679" s="18"/>
      <c r="CO679" s="18"/>
      <c r="CP679" s="18"/>
      <c r="DH679" s="232"/>
      <c r="DI679" s="234"/>
      <c r="DJ679" s="234"/>
      <c r="DK679" s="235"/>
      <c r="DL679" s="236"/>
      <c r="DM679" s="236"/>
      <c r="DN679" s="236"/>
    </row>
    <row r="680" spans="46:118" x14ac:dyDescent="0.3">
      <c r="AT680" s="44" t="str">
        <f t="shared" si="125"/>
        <v>18_22B.LO.W</v>
      </c>
      <c r="AU680" s="18" t="s">
        <v>72</v>
      </c>
      <c r="AV680" s="18" t="s">
        <v>382</v>
      </c>
      <c r="AW680" s="20" t="s">
        <v>113</v>
      </c>
      <c r="AX680" s="228">
        <v>1220115</v>
      </c>
      <c r="AY680" s="229">
        <v>0</v>
      </c>
      <c r="BA680" s="91"/>
      <c r="CK680" s="160"/>
      <c r="CL680" s="18"/>
      <c r="CM680" s="18"/>
      <c r="CN680" s="18"/>
      <c r="CO680" s="18"/>
      <c r="CP680" s="18"/>
      <c r="DH680" s="232"/>
      <c r="DI680" s="234"/>
      <c r="DJ680" s="234"/>
      <c r="DK680" s="235"/>
      <c r="DL680" s="236"/>
      <c r="DM680" s="236"/>
      <c r="DN680" s="236"/>
    </row>
    <row r="681" spans="46:118" x14ac:dyDescent="0.3">
      <c r="AT681" s="44" t="str">
        <f t="shared" si="125"/>
        <v>18_24B.LO.W</v>
      </c>
      <c r="AU681" s="18" t="s">
        <v>72</v>
      </c>
      <c r="AV681" s="18" t="s">
        <v>461</v>
      </c>
      <c r="AW681" s="20" t="s">
        <v>113</v>
      </c>
      <c r="AX681" s="228">
        <v>1220115</v>
      </c>
      <c r="AY681" s="229">
        <v>0</v>
      </c>
      <c r="BA681" s="91"/>
      <c r="CK681" s="160"/>
      <c r="CL681" s="18"/>
      <c r="CM681" s="18"/>
      <c r="CN681" s="18"/>
      <c r="CO681" s="18"/>
      <c r="CP681" s="18"/>
      <c r="DH681" s="232"/>
      <c r="DI681" s="234"/>
      <c r="DJ681" s="234"/>
      <c r="DK681" s="235"/>
      <c r="DL681" s="236"/>
      <c r="DM681" s="236"/>
      <c r="DN681" s="236"/>
    </row>
    <row r="682" spans="46:118" x14ac:dyDescent="0.3">
      <c r="AT682" s="44" t="str">
        <f t="shared" si="125"/>
        <v>20_22B.LO.W</v>
      </c>
      <c r="AU682" s="18" t="s">
        <v>72</v>
      </c>
      <c r="AV682" s="18" t="s">
        <v>400</v>
      </c>
      <c r="AW682" s="20" t="s">
        <v>113</v>
      </c>
      <c r="AX682" s="228">
        <v>1220115</v>
      </c>
      <c r="AY682" s="229">
        <v>0</v>
      </c>
      <c r="BA682" s="91"/>
      <c r="CK682" s="160"/>
      <c r="CL682" s="18"/>
      <c r="CM682" s="18"/>
      <c r="CN682" s="18"/>
      <c r="CO682" s="18"/>
      <c r="CP682" s="18"/>
      <c r="DH682" s="232"/>
      <c r="DI682" s="234"/>
      <c r="DJ682" s="234"/>
      <c r="DK682" s="235"/>
      <c r="DL682" s="236"/>
      <c r="DM682" s="236"/>
      <c r="DN682" s="236"/>
    </row>
    <row r="683" spans="46:118" x14ac:dyDescent="0.3">
      <c r="AT683" s="44" t="str">
        <f t="shared" si="125"/>
        <v>20_24B.LO.W</v>
      </c>
      <c r="AU683" s="18" t="s">
        <v>72</v>
      </c>
      <c r="AV683" s="18" t="s">
        <v>479</v>
      </c>
      <c r="AW683" s="20" t="s">
        <v>113</v>
      </c>
      <c r="AX683" s="228">
        <v>1220115</v>
      </c>
      <c r="AY683" s="229">
        <v>0</v>
      </c>
      <c r="BA683" s="91"/>
      <c r="CK683" s="160"/>
      <c r="CL683" s="18"/>
      <c r="CM683" s="18"/>
      <c r="CN683" s="18"/>
      <c r="CO683" s="18"/>
      <c r="CP683" s="18"/>
      <c r="DH683" s="232"/>
      <c r="DI683" s="234"/>
      <c r="DJ683" s="234"/>
      <c r="DK683" s="235"/>
      <c r="DL683" s="236"/>
      <c r="DM683" s="236"/>
      <c r="DN683" s="236"/>
    </row>
    <row r="684" spans="46:118" x14ac:dyDescent="0.3">
      <c r="AT684" s="44" t="str">
        <f t="shared" si="125"/>
        <v>3H_13S.LO.W</v>
      </c>
      <c r="AU684" s="18" t="s">
        <v>72</v>
      </c>
      <c r="AV684" s="18" t="s">
        <v>1001</v>
      </c>
      <c r="AW684" s="20" t="s">
        <v>113</v>
      </c>
      <c r="AX684" s="228">
        <v>1220115</v>
      </c>
      <c r="AY684" s="229">
        <v>0</v>
      </c>
      <c r="BA684" s="91"/>
      <c r="CK684" s="160"/>
      <c r="CL684" s="18"/>
      <c r="CM684" s="18"/>
      <c r="CN684" s="18"/>
      <c r="CO684" s="18"/>
      <c r="CP684" s="18"/>
      <c r="DH684" s="232"/>
      <c r="DI684" s="234"/>
      <c r="DJ684" s="234"/>
      <c r="DK684" s="235"/>
      <c r="DL684" s="236"/>
      <c r="DM684" s="236"/>
      <c r="DN684" s="236"/>
    </row>
    <row r="685" spans="46:118" x14ac:dyDescent="0.3">
      <c r="AT685" s="44" t="str">
        <f t="shared" si="125"/>
        <v>4_14S.LO.W</v>
      </c>
      <c r="AU685" s="18" t="s">
        <v>72</v>
      </c>
      <c r="AV685" s="18" t="s">
        <v>1017</v>
      </c>
      <c r="AW685" s="20" t="s">
        <v>113</v>
      </c>
      <c r="AX685" s="228">
        <v>1220115</v>
      </c>
      <c r="AY685" s="229">
        <v>0</v>
      </c>
      <c r="BA685" s="91"/>
      <c r="CK685" s="160"/>
      <c r="CL685" s="18"/>
      <c r="CM685" s="18"/>
      <c r="CN685" s="18"/>
      <c r="CO685" s="18"/>
      <c r="CP685" s="18"/>
      <c r="DH685" s="232"/>
      <c r="DI685" s="234"/>
      <c r="DJ685" s="234"/>
      <c r="DK685" s="235"/>
      <c r="DL685" s="236"/>
      <c r="DM685" s="236"/>
      <c r="DN685" s="236"/>
    </row>
    <row r="686" spans="46:118" x14ac:dyDescent="0.3">
      <c r="AT686" s="44" t="str">
        <f t="shared" si="125"/>
        <v>4_14x8S.LO.W</v>
      </c>
      <c r="AU686" s="18" t="s">
        <v>72</v>
      </c>
      <c r="AV686" s="18" t="s">
        <v>1049</v>
      </c>
      <c r="AW686" s="20" t="s">
        <v>113</v>
      </c>
      <c r="AX686" s="228">
        <v>1220115</v>
      </c>
      <c r="AY686" s="229">
        <v>0</v>
      </c>
      <c r="BA686" s="91"/>
      <c r="CK686" s="160"/>
      <c r="CL686" s="18"/>
      <c r="CM686" s="18"/>
      <c r="CN686" s="18"/>
      <c r="CO686" s="18"/>
      <c r="CP686" s="18"/>
      <c r="DH686" s="232"/>
      <c r="DI686" s="234"/>
      <c r="DJ686" s="234"/>
      <c r="DK686" s="235"/>
      <c r="DL686" s="236"/>
      <c r="DM686" s="236"/>
      <c r="DN686" s="236"/>
    </row>
    <row r="687" spans="46:118" x14ac:dyDescent="0.3">
      <c r="AT687" s="44" t="str">
        <f t="shared" si="125"/>
        <v>5_14S.LO.W</v>
      </c>
      <c r="AU687" s="18" t="s">
        <v>72</v>
      </c>
      <c r="AV687" s="18" t="s">
        <v>1026</v>
      </c>
      <c r="AW687" s="20" t="s">
        <v>113</v>
      </c>
      <c r="AX687" s="228">
        <v>1220115</v>
      </c>
      <c r="AY687" s="229">
        <v>0</v>
      </c>
      <c r="BA687" s="91"/>
      <c r="CK687" s="160"/>
      <c r="CL687" s="18"/>
      <c r="CM687" s="18"/>
      <c r="CN687" s="18"/>
      <c r="CO687" s="18"/>
      <c r="CP687" s="18"/>
      <c r="DH687" s="232"/>
      <c r="DI687" s="234"/>
      <c r="DJ687" s="234"/>
      <c r="DK687" s="235"/>
      <c r="DL687" s="236"/>
      <c r="DM687" s="236"/>
      <c r="DN687" s="236"/>
    </row>
    <row r="688" spans="46:118" x14ac:dyDescent="0.3">
      <c r="AT688" s="44" t="str">
        <f t="shared" si="125"/>
        <v>5_14x8S.LO.W</v>
      </c>
      <c r="AU688" s="18" t="s">
        <v>72</v>
      </c>
      <c r="AV688" s="18" t="s">
        <v>1059</v>
      </c>
      <c r="AW688" s="20" t="s">
        <v>113</v>
      </c>
      <c r="AX688" s="228">
        <v>1220115</v>
      </c>
      <c r="AY688" s="229">
        <v>0</v>
      </c>
      <c r="BA688" s="91"/>
      <c r="CK688" s="160"/>
      <c r="CL688" s="18"/>
      <c r="CM688" s="18"/>
      <c r="CN688" s="18"/>
      <c r="CO688" s="18"/>
      <c r="CP688" s="18"/>
      <c r="DH688" s="232"/>
      <c r="DI688" s="234"/>
      <c r="DJ688" s="234"/>
      <c r="DK688" s="235"/>
      <c r="DL688" s="236"/>
      <c r="DM688" s="236"/>
      <c r="DN688" s="236"/>
    </row>
    <row r="689" spans="46:118" x14ac:dyDescent="0.3">
      <c r="AT689" s="44" t="str">
        <f t="shared" si="125"/>
        <v>5H_14x8S.LO.W</v>
      </c>
      <c r="AU689" s="18" t="s">
        <v>72</v>
      </c>
      <c r="AV689" s="18" t="s">
        <v>1067</v>
      </c>
      <c r="AW689" s="20" t="s">
        <v>113</v>
      </c>
      <c r="AX689" s="228">
        <v>1220115</v>
      </c>
      <c r="AY689" s="229">
        <v>0</v>
      </c>
      <c r="BA689" s="91"/>
      <c r="CK689" s="160"/>
      <c r="CL689" s="23"/>
      <c r="CM689" s="23"/>
      <c r="CN689" s="23"/>
      <c r="CO689" s="23"/>
      <c r="CP689" s="18"/>
      <c r="DH689" s="232"/>
      <c r="DI689" s="234"/>
      <c r="DJ689" s="234"/>
      <c r="DK689" s="235"/>
      <c r="DL689" s="236"/>
      <c r="DM689" s="236"/>
      <c r="DN689" s="236"/>
    </row>
    <row r="690" spans="46:118" x14ac:dyDescent="0.3">
      <c r="AT690" s="44" t="str">
        <f t="shared" si="125"/>
        <v>6_12S.LO.W</v>
      </c>
      <c r="AU690" s="18" t="s">
        <v>72</v>
      </c>
      <c r="AV690" s="18" t="s">
        <v>995</v>
      </c>
      <c r="AW690" s="20" t="s">
        <v>113</v>
      </c>
      <c r="AX690" s="228">
        <v>1220115</v>
      </c>
      <c r="AY690" s="229">
        <v>0</v>
      </c>
      <c r="BA690" s="91"/>
      <c r="CK690" s="160"/>
      <c r="CL690" s="223"/>
      <c r="CM690" s="223"/>
      <c r="CN690" s="223"/>
      <c r="CO690" s="223"/>
      <c r="CP690" s="18"/>
      <c r="DH690" s="232"/>
      <c r="DI690" s="234"/>
      <c r="DJ690" s="234"/>
      <c r="DK690" s="235"/>
      <c r="DL690" s="236"/>
      <c r="DM690" s="236"/>
      <c r="DN690" s="236"/>
    </row>
    <row r="691" spans="46:118" x14ac:dyDescent="0.3">
      <c r="AT691" s="44" t="str">
        <f t="shared" si="125"/>
        <v>6_13S.LO.W</v>
      </c>
      <c r="AU691" s="18" t="s">
        <v>72</v>
      </c>
      <c r="AV691" s="18" t="s">
        <v>1012</v>
      </c>
      <c r="AW691" s="20" t="s">
        <v>113</v>
      </c>
      <c r="AX691" s="228">
        <v>1220115</v>
      </c>
      <c r="AY691" s="229">
        <v>0</v>
      </c>
      <c r="BA691" s="91"/>
      <c r="CK691" s="160"/>
      <c r="CL691" s="18"/>
      <c r="CM691" s="18"/>
      <c r="CN691" s="18"/>
      <c r="CO691" s="18"/>
      <c r="CP691" s="18"/>
      <c r="DH691" s="232"/>
      <c r="DI691" s="234"/>
      <c r="DJ691" s="234"/>
      <c r="DK691" s="235"/>
      <c r="DL691" s="236"/>
      <c r="DM691" s="236"/>
      <c r="DN691" s="236"/>
    </row>
    <row r="692" spans="46:118" x14ac:dyDescent="0.3">
      <c r="AT692" s="44" t="str">
        <f t="shared" si="125"/>
        <v>6H_14S.LO.W</v>
      </c>
      <c r="AU692" s="18" t="s">
        <v>72</v>
      </c>
      <c r="AV692" s="18" t="s">
        <v>1039</v>
      </c>
      <c r="AW692" s="20" t="s">
        <v>113</v>
      </c>
      <c r="AX692" s="228">
        <v>1220115</v>
      </c>
      <c r="AY692" s="229">
        <v>0</v>
      </c>
      <c r="BA692" s="91"/>
      <c r="CK692" s="160"/>
      <c r="CL692" s="18"/>
      <c r="CM692" s="18"/>
      <c r="CN692" s="18"/>
      <c r="CO692" s="18"/>
      <c r="CP692" s="18"/>
      <c r="DH692" s="232"/>
      <c r="DI692" s="234"/>
      <c r="DJ692" s="234"/>
      <c r="DK692" s="235"/>
      <c r="DL692" s="236"/>
      <c r="DM692" s="236"/>
      <c r="DN692" s="236"/>
    </row>
    <row r="693" spans="46:118" x14ac:dyDescent="0.3">
      <c r="AT693" s="44" t="str">
        <f t="shared" si="125"/>
        <v>6H_14x8S.LO.W</v>
      </c>
      <c r="AU693" s="18" t="s">
        <v>72</v>
      </c>
      <c r="AV693" s="18" t="s">
        <v>1075</v>
      </c>
      <c r="AW693" s="20" t="s">
        <v>113</v>
      </c>
      <c r="AX693" s="228">
        <v>1220115</v>
      </c>
      <c r="AY693" s="229">
        <v>0</v>
      </c>
      <c r="BA693" s="91"/>
      <c r="CK693" s="160"/>
      <c r="CL693" s="18"/>
      <c r="CM693" s="18"/>
      <c r="CN693" s="18"/>
      <c r="CO693" s="18"/>
      <c r="CP693" s="18"/>
      <c r="DH693" s="232"/>
      <c r="DI693" s="234"/>
      <c r="DJ693" s="234"/>
      <c r="DK693" s="235"/>
      <c r="DL693" s="236"/>
      <c r="DM693" s="236"/>
      <c r="DN693" s="236"/>
    </row>
    <row r="694" spans="46:118" x14ac:dyDescent="0.3">
      <c r="AT694" s="44" t="str">
        <f t="shared" si="125"/>
        <v>7_10T.LO.W</v>
      </c>
      <c r="AU694" s="18" t="s">
        <v>72</v>
      </c>
      <c r="AV694" s="18" t="s">
        <v>763</v>
      </c>
      <c r="AW694" s="20" t="s">
        <v>113</v>
      </c>
      <c r="AX694" s="228">
        <v>1220115</v>
      </c>
      <c r="AY694" s="229">
        <v>0</v>
      </c>
      <c r="BA694" s="91"/>
      <c r="CK694" s="160"/>
      <c r="CL694" s="18"/>
      <c r="CM694" s="18"/>
      <c r="CN694" s="18"/>
      <c r="CO694" s="18"/>
      <c r="CP694" s="18"/>
      <c r="DH694" s="232"/>
      <c r="DI694" s="234"/>
      <c r="DJ694" s="234"/>
      <c r="DK694" s="235"/>
      <c r="DL694" s="236"/>
      <c r="DM694" s="236"/>
      <c r="DN694" s="236"/>
    </row>
    <row r="695" spans="46:118" x14ac:dyDescent="0.3">
      <c r="AT695" s="44" t="str">
        <f t="shared" si="125"/>
        <v>7_8T.LO.W</v>
      </c>
      <c r="AU695" s="18" t="s">
        <v>72</v>
      </c>
      <c r="AV695" s="18" t="s">
        <v>748</v>
      </c>
      <c r="AW695" s="20" t="s">
        <v>113</v>
      </c>
      <c r="AX695" s="228">
        <v>1220115</v>
      </c>
      <c r="AY695" s="229">
        <v>0</v>
      </c>
      <c r="BA695" s="91"/>
      <c r="CK695" s="160"/>
      <c r="CL695" s="18"/>
      <c r="CM695" s="18"/>
      <c r="CN695" s="18"/>
      <c r="CO695" s="18"/>
      <c r="CP695" s="18"/>
      <c r="DH695" s="232"/>
      <c r="DI695" s="234"/>
      <c r="DJ695" s="234"/>
      <c r="DK695" s="235"/>
      <c r="DL695" s="236"/>
      <c r="DM695" s="236"/>
      <c r="DN695" s="236"/>
    </row>
    <row r="696" spans="46:118" x14ac:dyDescent="0.3">
      <c r="AT696" s="44" t="str">
        <f t="shared" si="125"/>
        <v>7H_10T.LO.W</v>
      </c>
      <c r="AU696" s="18" t="s">
        <v>72</v>
      </c>
      <c r="AV696" s="18" t="s">
        <v>769</v>
      </c>
      <c r="AW696" s="20" t="s">
        <v>113</v>
      </c>
      <c r="AX696" s="228">
        <v>1220115</v>
      </c>
      <c r="AY696" s="229">
        <v>0</v>
      </c>
      <c r="BA696" s="91"/>
      <c r="CK696" s="160"/>
      <c r="CL696" s="18"/>
      <c r="CM696" s="18"/>
      <c r="CN696" s="18"/>
      <c r="CO696" s="18"/>
      <c r="CP696" s="18"/>
      <c r="DH696" s="232"/>
      <c r="DI696" s="234"/>
      <c r="DJ696" s="234"/>
      <c r="DK696" s="235"/>
      <c r="DL696" s="236"/>
      <c r="DM696" s="236"/>
      <c r="DN696" s="236"/>
    </row>
    <row r="697" spans="46:118" x14ac:dyDescent="0.3">
      <c r="AT697" s="44" t="str">
        <f t="shared" si="125"/>
        <v>8_10T.LO.W</v>
      </c>
      <c r="AU697" s="18" t="s">
        <v>72</v>
      </c>
      <c r="AV697" s="18" t="s">
        <v>776</v>
      </c>
      <c r="AW697" s="20" t="s">
        <v>113</v>
      </c>
      <c r="AX697" s="228">
        <v>1220115</v>
      </c>
      <c r="AY697" s="229">
        <v>0</v>
      </c>
      <c r="BA697" s="91"/>
      <c r="CK697" s="160"/>
      <c r="CL697" s="18"/>
      <c r="CM697" s="18"/>
      <c r="CN697" s="18"/>
      <c r="CO697" s="18"/>
      <c r="CP697" s="18"/>
      <c r="DH697" s="232"/>
      <c r="DI697" s="234"/>
      <c r="DJ697" s="234"/>
      <c r="DK697" s="235"/>
      <c r="DL697" s="236"/>
      <c r="DM697" s="236"/>
      <c r="DN697" s="236"/>
    </row>
    <row r="698" spans="46:118" x14ac:dyDescent="0.3">
      <c r="AT698" s="44" t="str">
        <f t="shared" si="125"/>
        <v>8_12T.LO.W</v>
      </c>
      <c r="AU698" s="18" t="s">
        <v>72</v>
      </c>
      <c r="AV698" s="18" t="s">
        <v>791</v>
      </c>
      <c r="AW698" s="20" t="s">
        <v>113</v>
      </c>
      <c r="AX698" s="228">
        <v>1220115</v>
      </c>
      <c r="AY698" s="229">
        <v>0</v>
      </c>
      <c r="BA698" s="91"/>
      <c r="CK698" s="160"/>
      <c r="CL698" s="18"/>
      <c r="CM698" s="18"/>
      <c r="CN698" s="18"/>
      <c r="CO698" s="18"/>
      <c r="CP698" s="18"/>
      <c r="DH698" s="232"/>
      <c r="DI698" s="234"/>
      <c r="DJ698" s="234"/>
      <c r="DK698" s="235"/>
      <c r="DL698" s="236"/>
      <c r="DM698" s="236"/>
      <c r="DN698" s="236"/>
    </row>
    <row r="699" spans="46:118" x14ac:dyDescent="0.3">
      <c r="AT699" s="44" t="str">
        <f t="shared" si="125"/>
        <v>8_14S.LO.W</v>
      </c>
      <c r="AU699" s="18" t="s">
        <v>72</v>
      </c>
      <c r="AV699" s="18" t="s">
        <v>1046</v>
      </c>
      <c r="AW699" s="20" t="s">
        <v>113</v>
      </c>
      <c r="AX699" s="228">
        <v>1220115</v>
      </c>
      <c r="AY699" s="229">
        <v>0</v>
      </c>
      <c r="BA699" s="91"/>
      <c r="CK699" s="160"/>
      <c r="CL699" s="18"/>
      <c r="CM699" s="18"/>
      <c r="CN699" s="18"/>
      <c r="CO699" s="18"/>
      <c r="CP699" s="18"/>
      <c r="DH699" s="232"/>
      <c r="DI699" s="234"/>
      <c r="DJ699" s="234"/>
      <c r="DK699" s="235"/>
      <c r="DL699" s="236"/>
      <c r="DM699" s="236"/>
      <c r="DN699" s="236"/>
    </row>
    <row r="700" spans="46:118" x14ac:dyDescent="0.3">
      <c r="AT700" s="44" t="str">
        <f t="shared" si="125"/>
        <v>8_8T.LO.W</v>
      </c>
      <c r="AU700" s="18" t="s">
        <v>72</v>
      </c>
      <c r="AV700" s="18" t="s">
        <v>754</v>
      </c>
      <c r="AW700" s="20" t="s">
        <v>113</v>
      </c>
      <c r="AX700" s="228">
        <v>1220115</v>
      </c>
      <c r="AY700" s="229">
        <v>0</v>
      </c>
      <c r="BA700" s="91"/>
      <c r="CK700" s="160"/>
      <c r="CL700" s="18"/>
      <c r="CM700" s="18"/>
      <c r="CN700" s="18"/>
      <c r="CO700" s="18"/>
      <c r="CP700" s="18"/>
      <c r="DH700" s="232"/>
      <c r="DI700" s="234"/>
      <c r="DJ700" s="234"/>
      <c r="DK700" s="235"/>
      <c r="DL700" s="236"/>
      <c r="DM700" s="236"/>
      <c r="DN700" s="236"/>
    </row>
    <row r="701" spans="46:118" x14ac:dyDescent="0.3">
      <c r="AT701" s="44" t="str">
        <f t="shared" si="125"/>
        <v>9_10T.LO.W</v>
      </c>
      <c r="AU701" s="18" t="s">
        <v>72</v>
      </c>
      <c r="AV701" s="18" t="s">
        <v>783</v>
      </c>
      <c r="AW701" s="20" t="s">
        <v>113</v>
      </c>
      <c r="AX701" s="228">
        <v>1220115</v>
      </c>
      <c r="AY701" s="229">
        <v>0</v>
      </c>
      <c r="BA701" s="91"/>
      <c r="CK701" s="160"/>
      <c r="CL701" s="18"/>
      <c r="CM701" s="18"/>
      <c r="CN701" s="18"/>
      <c r="CO701" s="18"/>
      <c r="CP701" s="18"/>
      <c r="DH701" s="232"/>
      <c r="DI701" s="234"/>
      <c r="DJ701" s="234"/>
      <c r="DK701" s="235"/>
      <c r="DL701" s="236"/>
      <c r="DM701" s="236"/>
      <c r="DN701" s="236"/>
    </row>
    <row r="702" spans="46:118" x14ac:dyDescent="0.3">
      <c r="AT702" s="44" t="str">
        <f t="shared" si="125"/>
        <v>9_12T.LO.W</v>
      </c>
      <c r="AU702" s="18" t="s">
        <v>72</v>
      </c>
      <c r="AV702" s="18" t="s">
        <v>804</v>
      </c>
      <c r="AW702" s="20" t="s">
        <v>113</v>
      </c>
      <c r="AX702" s="228">
        <v>1220115</v>
      </c>
      <c r="AY702" s="229">
        <v>0</v>
      </c>
      <c r="BA702" s="91"/>
      <c r="CK702" s="160"/>
      <c r="CL702" s="18"/>
      <c r="CM702" s="18"/>
      <c r="CN702" s="18"/>
      <c r="CO702" s="18"/>
      <c r="CP702" s="18"/>
      <c r="DH702" s="232"/>
      <c r="DI702" s="234"/>
      <c r="DJ702" s="234"/>
      <c r="DK702" s="235"/>
      <c r="DL702" s="236"/>
      <c r="DM702" s="236"/>
      <c r="DN702" s="236"/>
    </row>
    <row r="703" spans="46:118" x14ac:dyDescent="0.3">
      <c r="AT703" s="44" t="str">
        <f t="shared" si="125"/>
        <v>9_13T.LO.W</v>
      </c>
      <c r="AU703" s="18" t="s">
        <v>72</v>
      </c>
      <c r="AV703" s="18" t="s">
        <v>837</v>
      </c>
      <c r="AW703" s="20" t="s">
        <v>113</v>
      </c>
      <c r="AX703" s="228">
        <v>1220115</v>
      </c>
      <c r="AY703" s="229">
        <v>0</v>
      </c>
      <c r="BA703" s="91"/>
      <c r="CK703" s="160"/>
      <c r="CL703" s="18"/>
      <c r="CM703" s="18"/>
      <c r="CN703" s="18"/>
      <c r="CO703" s="18"/>
      <c r="CP703" s="18"/>
      <c r="DH703" s="232"/>
      <c r="DI703" s="234"/>
      <c r="DJ703" s="234"/>
      <c r="DK703" s="235"/>
      <c r="DL703" s="236"/>
      <c r="DM703" s="236"/>
      <c r="DN703" s="236"/>
    </row>
    <row r="704" spans="46:118" x14ac:dyDescent="0.3">
      <c r="AT704" s="44" t="str">
        <f t="shared" si="125"/>
        <v>9_14T.LO.W</v>
      </c>
      <c r="AU704" s="18" t="s">
        <v>72</v>
      </c>
      <c r="AV704" s="18" t="s">
        <v>874</v>
      </c>
      <c r="AW704" s="20" t="s">
        <v>113</v>
      </c>
      <c r="AX704" s="228">
        <v>1220115</v>
      </c>
      <c r="AY704" s="229">
        <v>0</v>
      </c>
      <c r="BA704" s="91"/>
      <c r="CK704" s="160"/>
      <c r="CL704" s="18"/>
      <c r="CM704" s="18"/>
      <c r="CN704" s="18"/>
      <c r="CO704" s="18"/>
      <c r="CP704" s="18"/>
      <c r="DH704" s="232"/>
      <c r="DI704" s="234"/>
      <c r="DJ704" s="234"/>
      <c r="DK704" s="235"/>
      <c r="DL704" s="236"/>
      <c r="DM704" s="236"/>
      <c r="DN704" s="236"/>
    </row>
    <row r="705" spans="46:118" x14ac:dyDescent="0.3">
      <c r="AT705" s="44" t="str">
        <f t="shared" si="125"/>
        <v>10_12T.LX.IOV</v>
      </c>
      <c r="AU705" s="18" t="s">
        <v>71</v>
      </c>
      <c r="AV705" s="18" t="s">
        <v>813</v>
      </c>
      <c r="AW705" s="20" t="s">
        <v>1011</v>
      </c>
      <c r="AX705" s="228">
        <v>1220115</v>
      </c>
      <c r="AY705" s="229">
        <v>0</v>
      </c>
      <c r="BA705" s="91"/>
      <c r="CK705" s="160"/>
      <c r="CL705" s="18"/>
      <c r="CM705" s="18"/>
      <c r="CN705" s="18"/>
      <c r="CO705" s="18"/>
      <c r="CP705" s="18"/>
      <c r="DH705" s="232"/>
      <c r="DI705" s="234"/>
      <c r="DJ705" s="234"/>
      <c r="DK705" s="235"/>
      <c r="DL705" s="236"/>
      <c r="DM705" s="236"/>
      <c r="DN705" s="236"/>
    </row>
    <row r="706" spans="46:118" x14ac:dyDescent="0.3">
      <c r="AT706" s="44" t="str">
        <f t="shared" si="125"/>
        <v>10_13T.LX.IOV</v>
      </c>
      <c r="AU706" s="18" t="s">
        <v>71</v>
      </c>
      <c r="AV706" s="18" t="s">
        <v>848</v>
      </c>
      <c r="AW706" s="20" t="s">
        <v>1011</v>
      </c>
      <c r="AX706" s="228">
        <v>1220115</v>
      </c>
      <c r="AY706" s="229">
        <v>0</v>
      </c>
      <c r="BA706" s="91"/>
      <c r="CK706" s="160"/>
      <c r="CL706" s="18"/>
      <c r="CM706" s="18"/>
      <c r="CN706" s="18"/>
      <c r="CO706" s="18"/>
      <c r="CP706" s="18"/>
      <c r="DH706" s="232"/>
      <c r="DI706" s="234"/>
      <c r="DJ706" s="234"/>
      <c r="DK706" s="235"/>
      <c r="DL706" s="236"/>
      <c r="DM706" s="236"/>
      <c r="DN706" s="236"/>
    </row>
    <row r="707" spans="46:118" x14ac:dyDescent="0.3">
      <c r="AT707" s="44" t="str">
        <f t="shared" si="125"/>
        <v>10_14S.LX.IOV</v>
      </c>
      <c r="AU707" s="18" t="s">
        <v>71</v>
      </c>
      <c r="AV707" s="18" t="s">
        <v>1122</v>
      </c>
      <c r="AW707" s="20" t="s">
        <v>1011</v>
      </c>
      <c r="AX707" s="228">
        <v>1220115</v>
      </c>
      <c r="AY707" s="229">
        <v>0</v>
      </c>
      <c r="BA707" s="91"/>
      <c r="CK707" s="160"/>
      <c r="CL707" s="18"/>
      <c r="CM707" s="18"/>
      <c r="CN707" s="18"/>
      <c r="CO707" s="18"/>
      <c r="CP707" s="18"/>
      <c r="DH707" s="232"/>
      <c r="DI707" s="234"/>
      <c r="DJ707" s="234"/>
      <c r="DK707" s="235"/>
      <c r="DL707" s="236"/>
      <c r="DM707" s="236"/>
      <c r="DN707" s="236"/>
    </row>
    <row r="708" spans="46:118" x14ac:dyDescent="0.3">
      <c r="AT708" s="44" t="str">
        <f t="shared" si="125"/>
        <v>10_14T.LX.IOV</v>
      </c>
      <c r="AU708" s="18" t="s">
        <v>71</v>
      </c>
      <c r="AV708" s="18" t="s">
        <v>887</v>
      </c>
      <c r="AW708" s="20" t="s">
        <v>1011</v>
      </c>
      <c r="AX708" s="228">
        <v>1220115</v>
      </c>
      <c r="AY708" s="229">
        <v>0</v>
      </c>
      <c r="BA708" s="91"/>
      <c r="CK708" s="160"/>
      <c r="CL708" s="18"/>
      <c r="CM708" s="18"/>
      <c r="CN708" s="18"/>
      <c r="CO708" s="18"/>
      <c r="CP708" s="18"/>
      <c r="DH708" s="232"/>
      <c r="DI708" s="234"/>
      <c r="DJ708" s="234"/>
      <c r="DK708" s="235"/>
      <c r="DL708" s="236"/>
      <c r="DM708" s="236"/>
      <c r="DN708" s="236"/>
    </row>
    <row r="709" spans="46:118" x14ac:dyDescent="0.3">
      <c r="AT709" s="44" t="str">
        <f t="shared" si="125"/>
        <v>11_12T.LX.IOV</v>
      </c>
      <c r="AU709" s="18" t="s">
        <v>71</v>
      </c>
      <c r="AV709" s="18" t="s">
        <v>825</v>
      </c>
      <c r="AW709" s="20" t="s">
        <v>1011</v>
      </c>
      <c r="AX709" s="228">
        <v>1220115</v>
      </c>
      <c r="AY709" s="229">
        <v>0</v>
      </c>
      <c r="BA709" s="91"/>
      <c r="CK709" s="160"/>
      <c r="CL709" s="18"/>
      <c r="CM709" s="18"/>
      <c r="CN709" s="18"/>
      <c r="CO709" s="18"/>
      <c r="CP709" s="18"/>
      <c r="DH709" s="232"/>
      <c r="DI709" s="234"/>
      <c r="DJ709" s="234"/>
      <c r="DK709" s="235"/>
      <c r="DL709" s="236"/>
      <c r="DM709" s="236"/>
      <c r="DN709" s="236"/>
    </row>
    <row r="710" spans="46:118" x14ac:dyDescent="0.3">
      <c r="AT710" s="44" t="str">
        <f t="shared" si="125"/>
        <v>11_13T.LX.IOV</v>
      </c>
      <c r="AU710" s="18" t="s">
        <v>71</v>
      </c>
      <c r="AV710" s="18" t="s">
        <v>857</v>
      </c>
      <c r="AW710" s="20" t="s">
        <v>1011</v>
      </c>
      <c r="AX710" s="228">
        <v>1220115</v>
      </c>
      <c r="AY710" s="229">
        <v>0</v>
      </c>
      <c r="BA710" s="91"/>
      <c r="CK710" s="160"/>
      <c r="CL710" s="18"/>
      <c r="CM710" s="18"/>
      <c r="CN710" s="18"/>
      <c r="CO710" s="18"/>
      <c r="CP710" s="18"/>
      <c r="DH710" s="232"/>
      <c r="DI710" s="234"/>
      <c r="DJ710" s="234"/>
      <c r="DK710" s="235"/>
      <c r="DL710" s="236"/>
      <c r="DM710" s="236"/>
      <c r="DN710" s="236"/>
    </row>
    <row r="711" spans="46:118" x14ac:dyDescent="0.3">
      <c r="AT711" s="44" t="str">
        <f t="shared" si="125"/>
        <v>11_14T.LX.IOV</v>
      </c>
      <c r="AU711" s="18" t="s">
        <v>71</v>
      </c>
      <c r="AV711" s="18" t="s">
        <v>900</v>
      </c>
      <c r="AW711" s="20" t="s">
        <v>1011</v>
      </c>
      <c r="AX711" s="228">
        <v>1220115</v>
      </c>
      <c r="AY711" s="229">
        <v>0</v>
      </c>
      <c r="BA711" s="91"/>
      <c r="CK711" s="160"/>
      <c r="CL711" s="18"/>
      <c r="CM711" s="18"/>
      <c r="CN711" s="18"/>
      <c r="CO711" s="18"/>
      <c r="CP711" s="18"/>
      <c r="DH711" s="232"/>
      <c r="DI711" s="234"/>
      <c r="DJ711" s="234"/>
      <c r="DK711" s="235"/>
      <c r="DL711" s="236"/>
      <c r="DM711" s="236"/>
      <c r="DN711" s="236"/>
    </row>
    <row r="712" spans="46:118" x14ac:dyDescent="0.3">
      <c r="AT712" s="44" t="str">
        <f t="shared" si="125"/>
        <v>12_13T.LX.IOV</v>
      </c>
      <c r="AU712" s="18" t="s">
        <v>71</v>
      </c>
      <c r="AV712" s="18" t="s">
        <v>865</v>
      </c>
      <c r="AW712" s="20" t="s">
        <v>1011</v>
      </c>
      <c r="AX712" s="228">
        <v>1220115</v>
      </c>
      <c r="AY712" s="229">
        <v>0</v>
      </c>
      <c r="BA712" s="91"/>
      <c r="CK712" s="160"/>
      <c r="CL712" s="18"/>
      <c r="CM712" s="18"/>
      <c r="CN712" s="18"/>
      <c r="CO712" s="18"/>
      <c r="CP712" s="18"/>
      <c r="DH712" s="232"/>
      <c r="DI712" s="234"/>
      <c r="DJ712" s="234"/>
      <c r="DK712" s="235"/>
      <c r="DL712" s="236"/>
      <c r="DM712" s="236"/>
      <c r="DN712" s="236"/>
    </row>
    <row r="713" spans="46:118" x14ac:dyDescent="0.3">
      <c r="AT713" s="44" t="str">
        <f t="shared" si="125"/>
        <v>12_14F.LX.IOV</v>
      </c>
      <c r="AU713" s="18" t="s">
        <v>71</v>
      </c>
      <c r="AV713" s="18" t="s">
        <v>583</v>
      </c>
      <c r="AW713" s="20" t="s">
        <v>1011</v>
      </c>
      <c r="AX713" s="228">
        <v>1220115</v>
      </c>
      <c r="AY713" s="229">
        <v>0</v>
      </c>
      <c r="BA713" s="91"/>
      <c r="CK713" s="160"/>
      <c r="CL713" s="18"/>
      <c r="CM713" s="18"/>
      <c r="CN713" s="18"/>
      <c r="CO713" s="18"/>
      <c r="CP713" s="18"/>
      <c r="DH713" s="232"/>
      <c r="DI713" s="234"/>
      <c r="DJ713" s="234"/>
      <c r="DK713" s="235"/>
      <c r="DL713" s="236"/>
      <c r="DM713" s="236"/>
      <c r="DN713" s="236"/>
    </row>
    <row r="714" spans="46:118" x14ac:dyDescent="0.3">
      <c r="AT714" s="44" t="str">
        <f t="shared" si="125"/>
        <v>12_14T.LX.IOV</v>
      </c>
      <c r="AU714" s="18" t="s">
        <v>71</v>
      </c>
      <c r="AV714" s="18" t="s">
        <v>913</v>
      </c>
      <c r="AW714" s="20" t="s">
        <v>1011</v>
      </c>
      <c r="AX714" s="228">
        <v>1220115</v>
      </c>
      <c r="AY714" s="229">
        <v>0</v>
      </c>
      <c r="BA714" s="91"/>
      <c r="CK714" s="160"/>
      <c r="CL714" s="18"/>
      <c r="CM714" s="18"/>
      <c r="CN714" s="18"/>
      <c r="CO714" s="18"/>
      <c r="CP714" s="18"/>
      <c r="DH714" s="232"/>
      <c r="DI714" s="234"/>
      <c r="DJ714" s="234"/>
      <c r="DK714" s="235"/>
      <c r="DL714" s="236"/>
      <c r="DM714" s="236"/>
      <c r="DN714" s="236"/>
    </row>
    <row r="715" spans="46:118" x14ac:dyDescent="0.3">
      <c r="AT715" s="44" t="str">
        <f t="shared" si="125"/>
        <v>12_15T.LX.IOV</v>
      </c>
      <c r="AU715" s="18" t="s">
        <v>71</v>
      </c>
      <c r="AV715" s="18" t="s">
        <v>941</v>
      </c>
      <c r="AW715" s="20" t="s">
        <v>1011</v>
      </c>
      <c r="AX715" s="228">
        <v>1220115</v>
      </c>
      <c r="AY715" s="229">
        <v>0</v>
      </c>
      <c r="BA715" s="91"/>
      <c r="CK715" s="160"/>
      <c r="CL715" s="18"/>
      <c r="CM715" s="18"/>
      <c r="CN715" s="18"/>
      <c r="CO715" s="18"/>
      <c r="CP715" s="18"/>
      <c r="DH715" s="232"/>
      <c r="DI715" s="234"/>
      <c r="DJ715" s="234"/>
      <c r="DK715" s="235"/>
      <c r="DL715" s="236"/>
      <c r="DM715" s="236"/>
      <c r="DN715" s="236"/>
    </row>
    <row r="716" spans="46:118" x14ac:dyDescent="0.3">
      <c r="AT716" s="44" t="str">
        <f t="shared" si="125"/>
        <v>12_18B.LX.IOV</v>
      </c>
      <c r="AU716" s="18" t="s">
        <v>71</v>
      </c>
      <c r="AV716" s="18" t="s">
        <v>133</v>
      </c>
      <c r="AW716" s="20" t="s">
        <v>1011</v>
      </c>
      <c r="AX716" s="228">
        <v>1220115</v>
      </c>
      <c r="AY716" s="229">
        <v>0</v>
      </c>
      <c r="BA716" s="91"/>
      <c r="CK716" s="160"/>
      <c r="CL716" s="18"/>
      <c r="CM716" s="18"/>
      <c r="CN716" s="18"/>
      <c r="CO716" s="18"/>
      <c r="CP716" s="18"/>
      <c r="DH716" s="232"/>
      <c r="DI716" s="234"/>
      <c r="DJ716" s="234"/>
      <c r="DK716" s="235"/>
      <c r="DL716" s="236"/>
      <c r="DM716" s="236"/>
      <c r="DN716" s="236"/>
    </row>
    <row r="717" spans="46:118" x14ac:dyDescent="0.3">
      <c r="AT717" s="44" t="str">
        <f t="shared" si="125"/>
        <v>12_20B.LX.IOV</v>
      </c>
      <c r="AU717" s="18" t="s">
        <v>71</v>
      </c>
      <c r="AV717" s="18" t="s">
        <v>217</v>
      </c>
      <c r="AW717" s="20" t="s">
        <v>1011</v>
      </c>
      <c r="AX717" s="228">
        <v>1220115</v>
      </c>
      <c r="AY717" s="229">
        <v>0</v>
      </c>
      <c r="BA717" s="91"/>
      <c r="CK717" s="160"/>
      <c r="CL717" s="18"/>
      <c r="CM717" s="18"/>
      <c r="CN717" s="18"/>
      <c r="CO717" s="18"/>
      <c r="CP717" s="18"/>
      <c r="DH717" s="232"/>
      <c r="DI717" s="234"/>
      <c r="DJ717" s="234"/>
      <c r="DK717" s="235"/>
      <c r="DL717" s="236"/>
      <c r="DM717" s="236"/>
      <c r="DN717" s="236"/>
    </row>
    <row r="718" spans="46:118" x14ac:dyDescent="0.3">
      <c r="AT718" s="44" t="str">
        <f t="shared" si="125"/>
        <v>12_22B.LX.IOV</v>
      </c>
      <c r="AU718" s="18" t="s">
        <v>71</v>
      </c>
      <c r="AV718" s="18" t="s">
        <v>330</v>
      </c>
      <c r="AW718" s="20" t="s">
        <v>1011</v>
      </c>
      <c r="AX718" s="228">
        <v>1220115</v>
      </c>
      <c r="AY718" s="229">
        <v>0</v>
      </c>
      <c r="BA718" s="91"/>
      <c r="CK718" s="160"/>
      <c r="CL718" s="18"/>
      <c r="CM718" s="18"/>
      <c r="CN718" s="18"/>
      <c r="CO718" s="18"/>
      <c r="CP718" s="18"/>
      <c r="DH718" s="232"/>
      <c r="DI718" s="234"/>
      <c r="DJ718" s="234"/>
      <c r="DK718" s="235"/>
      <c r="DL718" s="236"/>
      <c r="DM718" s="236"/>
      <c r="DN718" s="236"/>
    </row>
    <row r="719" spans="46:118" x14ac:dyDescent="0.3">
      <c r="AT719" s="44" t="str">
        <f t="shared" si="125"/>
        <v>12_24B.LX.IOV</v>
      </c>
      <c r="AU719" s="18" t="s">
        <v>71</v>
      </c>
      <c r="AV719" s="18" t="s">
        <v>413</v>
      </c>
      <c r="AW719" s="20" t="s">
        <v>1011</v>
      </c>
      <c r="AX719" s="228">
        <v>1220115</v>
      </c>
      <c r="AY719" s="229">
        <v>0</v>
      </c>
      <c r="BA719" s="91"/>
      <c r="CK719" s="160"/>
      <c r="CL719" s="18"/>
      <c r="CM719" s="18"/>
      <c r="CN719" s="18"/>
      <c r="CO719" s="18"/>
      <c r="CP719" s="18"/>
      <c r="DH719" s="232"/>
      <c r="DI719" s="234"/>
      <c r="DJ719" s="234"/>
      <c r="DK719" s="235"/>
      <c r="DL719" s="236"/>
      <c r="DM719" s="236"/>
      <c r="DN719" s="236"/>
    </row>
    <row r="720" spans="46:118" x14ac:dyDescent="0.3">
      <c r="AT720" s="44" t="str">
        <f t="shared" si="125"/>
        <v>12_26B.LX.IOV</v>
      </c>
      <c r="AU720" s="18" t="s">
        <v>71</v>
      </c>
      <c r="AV720" s="18" t="s">
        <v>494</v>
      </c>
      <c r="AW720" s="20" t="s">
        <v>1011</v>
      </c>
      <c r="AX720" s="228">
        <v>1220115</v>
      </c>
      <c r="AY720" s="229">
        <v>0</v>
      </c>
      <c r="BA720" s="91"/>
      <c r="CK720" s="160"/>
      <c r="CL720" s="18"/>
      <c r="CM720" s="18"/>
      <c r="CN720" s="18"/>
      <c r="CO720" s="18"/>
      <c r="CP720" s="18"/>
      <c r="DH720" s="232"/>
      <c r="DI720" s="234"/>
      <c r="DJ720" s="234"/>
      <c r="DK720" s="235"/>
      <c r="DL720" s="236"/>
      <c r="DM720" s="236"/>
      <c r="DN720" s="236"/>
    </row>
    <row r="721" spans="46:118" x14ac:dyDescent="0.3">
      <c r="AT721" s="44" t="str">
        <f t="shared" si="125"/>
        <v>13_14F.LX.IOV</v>
      </c>
      <c r="AU721" s="18" t="s">
        <v>71</v>
      </c>
      <c r="AV721" s="18" t="s">
        <v>602</v>
      </c>
      <c r="AW721" s="20" t="s">
        <v>1011</v>
      </c>
      <c r="AX721" s="228">
        <v>1220115</v>
      </c>
      <c r="AY721" s="229">
        <v>0</v>
      </c>
      <c r="BA721" s="91"/>
      <c r="CK721" s="160"/>
      <c r="CL721" s="18"/>
      <c r="CM721" s="18"/>
      <c r="CN721" s="18"/>
      <c r="CO721" s="18"/>
      <c r="CP721" s="18"/>
      <c r="DH721" s="232"/>
      <c r="DI721" s="234"/>
      <c r="DJ721" s="234"/>
      <c r="DK721" s="235"/>
      <c r="DL721" s="236"/>
      <c r="DM721" s="236"/>
      <c r="DN721" s="236"/>
    </row>
    <row r="722" spans="46:118" x14ac:dyDescent="0.3">
      <c r="AT722" s="44" t="str">
        <f t="shared" si="125"/>
        <v>13_14T.LX.IOV</v>
      </c>
      <c r="AU722" s="18" t="s">
        <v>71</v>
      </c>
      <c r="AV722" s="18" t="s">
        <v>926</v>
      </c>
      <c r="AW722" s="20" t="s">
        <v>1011</v>
      </c>
      <c r="AX722" s="228">
        <v>1220115</v>
      </c>
      <c r="AY722" s="229">
        <v>0</v>
      </c>
      <c r="BA722" s="91"/>
      <c r="CK722" s="160"/>
      <c r="CL722" s="18"/>
      <c r="CM722" s="18"/>
      <c r="CN722" s="18"/>
      <c r="CO722" s="18"/>
      <c r="CP722" s="18"/>
      <c r="DH722" s="232"/>
      <c r="DI722" s="234"/>
      <c r="DJ722" s="234"/>
      <c r="DK722" s="235"/>
      <c r="DL722" s="236"/>
      <c r="DM722" s="236"/>
      <c r="DN722" s="236"/>
    </row>
    <row r="723" spans="46:118" x14ac:dyDescent="0.3">
      <c r="AT723" s="44" t="str">
        <f t="shared" ref="AT723:AT786" si="126">CONCATENATE(AV723,".",AU723,".",AW723)</f>
        <v>13_15F.LX.IOV</v>
      </c>
      <c r="AU723" s="18" t="s">
        <v>71</v>
      </c>
      <c r="AV723" s="18" t="s">
        <v>630</v>
      </c>
      <c r="AW723" s="20" t="s">
        <v>1011</v>
      </c>
      <c r="AX723" s="228">
        <v>1220115</v>
      </c>
      <c r="AY723" s="229">
        <v>0</v>
      </c>
      <c r="BA723" s="91"/>
      <c r="CK723" s="160"/>
      <c r="CL723" s="18"/>
      <c r="CM723" s="18"/>
      <c r="CN723" s="18"/>
      <c r="CO723" s="18"/>
      <c r="CP723" s="18"/>
      <c r="DH723" s="232"/>
      <c r="DI723" s="234"/>
      <c r="DJ723" s="234"/>
      <c r="DK723" s="235"/>
      <c r="DL723" s="236"/>
      <c r="DM723" s="236"/>
      <c r="DN723" s="236"/>
    </row>
    <row r="724" spans="46:118" x14ac:dyDescent="0.3">
      <c r="AT724" s="44" t="str">
        <f t="shared" si="126"/>
        <v>13_15T.LX.IOV</v>
      </c>
      <c r="AU724" s="18" t="s">
        <v>71</v>
      </c>
      <c r="AV724" s="18" t="s">
        <v>949</v>
      </c>
      <c r="AW724" s="20" t="s">
        <v>1011</v>
      </c>
      <c r="AX724" s="228">
        <v>1220115</v>
      </c>
      <c r="AY724" s="229">
        <v>0</v>
      </c>
      <c r="BA724" s="91"/>
      <c r="CK724" s="160"/>
      <c r="CL724" s="18"/>
      <c r="CM724" s="18"/>
      <c r="CN724" s="18"/>
      <c r="CO724" s="18"/>
      <c r="CP724" s="18"/>
      <c r="DH724" s="232"/>
      <c r="DI724" s="234"/>
      <c r="DJ724" s="234"/>
      <c r="DK724" s="235"/>
      <c r="DL724" s="236"/>
      <c r="DM724" s="236"/>
      <c r="DN724" s="236"/>
    </row>
    <row r="725" spans="46:118" x14ac:dyDescent="0.3">
      <c r="AT725" s="44" t="str">
        <f t="shared" si="126"/>
        <v>13_16F.LX.IOV</v>
      </c>
      <c r="AU725" s="18" t="s">
        <v>71</v>
      </c>
      <c r="AV725" s="18" t="s">
        <v>665</v>
      </c>
      <c r="AW725" s="20" t="s">
        <v>1011</v>
      </c>
      <c r="AX725" s="228">
        <v>1220115</v>
      </c>
      <c r="AY725" s="229">
        <v>0</v>
      </c>
      <c r="BA725" s="91"/>
      <c r="CK725" s="160"/>
      <c r="CL725" s="18"/>
      <c r="CM725" s="18"/>
      <c r="CN725" s="18"/>
      <c r="CO725" s="18"/>
      <c r="CP725" s="18"/>
      <c r="DH725" s="232"/>
      <c r="DI725" s="234"/>
      <c r="DJ725" s="234"/>
      <c r="DK725" s="235"/>
      <c r="DL725" s="236"/>
      <c r="DM725" s="236"/>
      <c r="DN725" s="236"/>
    </row>
    <row r="726" spans="46:118" x14ac:dyDescent="0.3">
      <c r="AT726" s="44" t="str">
        <f t="shared" si="126"/>
        <v>13_16T.LX.IOV</v>
      </c>
      <c r="AU726" s="18" t="s">
        <v>71</v>
      </c>
      <c r="AV726" s="18" t="s">
        <v>963</v>
      </c>
      <c r="AW726" s="20" t="s">
        <v>1011</v>
      </c>
      <c r="AX726" s="228">
        <v>1220115</v>
      </c>
      <c r="AY726" s="229">
        <v>0</v>
      </c>
      <c r="BA726" s="91"/>
      <c r="CK726" s="160"/>
      <c r="CL726" s="18"/>
      <c r="CM726" s="18"/>
      <c r="CN726" s="18"/>
      <c r="CO726" s="18"/>
      <c r="CP726" s="18"/>
      <c r="DH726" s="232"/>
      <c r="DI726" s="234"/>
      <c r="DJ726" s="234"/>
      <c r="DK726" s="235"/>
      <c r="DL726" s="236"/>
      <c r="DM726" s="236"/>
      <c r="DN726" s="236"/>
    </row>
    <row r="727" spans="46:118" x14ac:dyDescent="0.3">
      <c r="AT727" s="44" t="str">
        <f t="shared" si="126"/>
        <v>14_14F.LX.IOV</v>
      </c>
      <c r="AU727" s="18" t="s">
        <v>71</v>
      </c>
      <c r="AV727" s="18" t="s">
        <v>616</v>
      </c>
      <c r="AW727" s="20" t="s">
        <v>1011</v>
      </c>
      <c r="AX727" s="228">
        <v>1220115</v>
      </c>
      <c r="AY727" s="229">
        <v>0</v>
      </c>
      <c r="BA727" s="91"/>
      <c r="CK727" s="160"/>
      <c r="CL727" s="18"/>
      <c r="CM727" s="18"/>
      <c r="CN727" s="18"/>
      <c r="CO727" s="18"/>
      <c r="CP727" s="18"/>
      <c r="DH727" s="232"/>
      <c r="DI727" s="234"/>
      <c r="DJ727" s="234"/>
      <c r="DK727" s="235"/>
      <c r="DL727" s="236"/>
      <c r="DM727" s="236"/>
      <c r="DN727" s="236"/>
    </row>
    <row r="728" spans="46:118" x14ac:dyDescent="0.3">
      <c r="AT728" s="44" t="str">
        <f t="shared" si="126"/>
        <v>14_14T.LX.IOV</v>
      </c>
      <c r="AU728" s="18" t="s">
        <v>71</v>
      </c>
      <c r="AV728" s="18" t="s">
        <v>933</v>
      </c>
      <c r="AW728" s="20" t="s">
        <v>1011</v>
      </c>
      <c r="AX728" s="228">
        <v>1220115</v>
      </c>
      <c r="AY728" s="229">
        <v>0</v>
      </c>
      <c r="BA728" s="91"/>
      <c r="CK728" s="160"/>
      <c r="CL728" s="18"/>
      <c r="CM728" s="18"/>
      <c r="CN728" s="18"/>
      <c r="CO728" s="18"/>
      <c r="CP728" s="18"/>
      <c r="DH728" s="232"/>
      <c r="DI728" s="234"/>
      <c r="DJ728" s="234"/>
      <c r="DK728" s="235"/>
      <c r="DL728" s="236"/>
      <c r="DM728" s="236"/>
      <c r="DN728" s="236"/>
    </row>
    <row r="729" spans="46:118" x14ac:dyDescent="0.3">
      <c r="AT729" s="44" t="str">
        <f t="shared" si="126"/>
        <v>14_15F.LX.IOV</v>
      </c>
      <c r="AU729" s="18" t="s">
        <v>71</v>
      </c>
      <c r="AV729" s="18" t="s">
        <v>647</v>
      </c>
      <c r="AW729" s="20" t="s">
        <v>1011</v>
      </c>
      <c r="AX729" s="228">
        <v>1220115</v>
      </c>
      <c r="AY729" s="229">
        <v>0</v>
      </c>
      <c r="BA729" s="91"/>
      <c r="CK729" s="160"/>
      <c r="CL729" s="18"/>
      <c r="CM729" s="18"/>
      <c r="CN729" s="18"/>
      <c r="CO729" s="18"/>
      <c r="CP729" s="18"/>
      <c r="DH729" s="232"/>
      <c r="DI729" s="234"/>
      <c r="DJ729" s="234"/>
      <c r="DK729" s="235"/>
      <c r="DL729" s="236"/>
      <c r="DM729" s="236"/>
      <c r="DN729" s="236"/>
    </row>
    <row r="730" spans="46:118" x14ac:dyDescent="0.3">
      <c r="AT730" s="44" t="str">
        <f t="shared" si="126"/>
        <v>14_15T.LX.IOV</v>
      </c>
      <c r="AU730" s="18" t="s">
        <v>71</v>
      </c>
      <c r="AV730" s="18" t="s">
        <v>956</v>
      </c>
      <c r="AW730" s="20" t="s">
        <v>1011</v>
      </c>
      <c r="AX730" s="228">
        <v>1220115</v>
      </c>
      <c r="AY730" s="229">
        <v>0</v>
      </c>
      <c r="BA730" s="91"/>
      <c r="CK730" s="160"/>
      <c r="CL730" s="18"/>
      <c r="CM730" s="18"/>
      <c r="CN730" s="18"/>
      <c r="CO730" s="18"/>
      <c r="CP730" s="18"/>
      <c r="DH730" s="232"/>
      <c r="DI730" s="234"/>
      <c r="DJ730" s="234"/>
      <c r="DK730" s="235"/>
      <c r="DL730" s="236"/>
      <c r="DM730" s="236"/>
      <c r="DN730" s="236"/>
    </row>
    <row r="731" spans="46:118" x14ac:dyDescent="0.3">
      <c r="AT731" s="44" t="str">
        <f t="shared" si="126"/>
        <v>14_16F.LX.IOV</v>
      </c>
      <c r="AU731" s="18" t="s">
        <v>71</v>
      </c>
      <c r="AV731" s="18" t="s">
        <v>681</v>
      </c>
      <c r="AW731" s="20" t="s">
        <v>1011</v>
      </c>
      <c r="AX731" s="228">
        <v>1220115</v>
      </c>
      <c r="AY731" s="229">
        <v>0</v>
      </c>
      <c r="BA731" s="91"/>
      <c r="CK731" s="160"/>
      <c r="CL731" s="18"/>
      <c r="CM731" s="18"/>
      <c r="CN731" s="18"/>
      <c r="CO731" s="18"/>
      <c r="CP731" s="18"/>
      <c r="DH731" s="232"/>
      <c r="DI731" s="234"/>
      <c r="DJ731" s="234"/>
      <c r="DK731" s="235"/>
      <c r="DL731" s="236"/>
      <c r="DM731" s="236"/>
      <c r="DN731" s="236"/>
    </row>
    <row r="732" spans="46:118" x14ac:dyDescent="0.3">
      <c r="AT732" s="44" t="str">
        <f t="shared" si="126"/>
        <v>14_16T.LX.IOV</v>
      </c>
      <c r="AU732" s="18" t="s">
        <v>71</v>
      </c>
      <c r="AV732" s="18" t="s">
        <v>970</v>
      </c>
      <c r="AW732" s="20" t="s">
        <v>1011</v>
      </c>
      <c r="AX732" s="228">
        <v>1220115</v>
      </c>
      <c r="AY732" s="229">
        <v>0</v>
      </c>
      <c r="BA732" s="91"/>
      <c r="CK732" s="160"/>
      <c r="CL732" s="18"/>
      <c r="CM732" s="18"/>
      <c r="CN732" s="18"/>
      <c r="CO732" s="18"/>
      <c r="CP732" s="18"/>
      <c r="DH732" s="232"/>
      <c r="DI732" s="234"/>
      <c r="DJ732" s="234"/>
      <c r="DK732" s="235"/>
      <c r="DL732" s="236"/>
      <c r="DM732" s="236"/>
      <c r="DN732" s="236"/>
    </row>
    <row r="733" spans="46:118" x14ac:dyDescent="0.3">
      <c r="AT733" s="44" t="str">
        <f t="shared" si="126"/>
        <v>14_18B.LX.IOV</v>
      </c>
      <c r="AU733" s="18" t="s">
        <v>71</v>
      </c>
      <c r="AV733" s="18" t="s">
        <v>160</v>
      </c>
      <c r="AW733" s="20" t="s">
        <v>1011</v>
      </c>
      <c r="AX733" s="228">
        <v>1220115</v>
      </c>
      <c r="AY733" s="229">
        <v>0</v>
      </c>
      <c r="BA733" s="91"/>
      <c r="CK733" s="160"/>
      <c r="CL733" s="18"/>
      <c r="CM733" s="18"/>
      <c r="CN733" s="18"/>
      <c r="CO733" s="18"/>
      <c r="CP733" s="18"/>
      <c r="DH733" s="232"/>
      <c r="DI733" s="234"/>
      <c r="DJ733" s="234"/>
      <c r="DK733" s="235"/>
      <c r="DL733" s="236"/>
      <c r="DM733" s="236"/>
      <c r="DN733" s="236"/>
    </row>
    <row r="734" spans="46:118" x14ac:dyDescent="0.3">
      <c r="AT734" s="44" t="str">
        <f t="shared" si="126"/>
        <v>14_20B.LX.IOV</v>
      </c>
      <c r="AU734" s="18" t="s">
        <v>71</v>
      </c>
      <c r="AV734" s="18" t="s">
        <v>253</v>
      </c>
      <c r="AW734" s="20" t="s">
        <v>1011</v>
      </c>
      <c r="AX734" s="228">
        <v>1220115</v>
      </c>
      <c r="AY734" s="229">
        <v>0</v>
      </c>
      <c r="BA734" s="91"/>
      <c r="CK734" s="160"/>
      <c r="CL734" s="18"/>
      <c r="CM734" s="18"/>
      <c r="CN734" s="18"/>
      <c r="CO734" s="18"/>
      <c r="CP734" s="18"/>
      <c r="DH734" s="232"/>
      <c r="DI734" s="234"/>
      <c r="DJ734" s="234"/>
      <c r="DK734" s="235"/>
      <c r="DL734" s="236"/>
      <c r="DM734" s="236"/>
      <c r="DN734" s="236"/>
    </row>
    <row r="735" spans="46:118" x14ac:dyDescent="0.3">
      <c r="AT735" s="44" t="str">
        <f t="shared" si="126"/>
        <v>14_22B.LX.IOV</v>
      </c>
      <c r="AU735" s="18" t="s">
        <v>71</v>
      </c>
      <c r="AV735" s="18" t="s">
        <v>346</v>
      </c>
      <c r="AW735" s="20" t="s">
        <v>1011</v>
      </c>
      <c r="AX735" s="228">
        <v>1220115</v>
      </c>
      <c r="AY735" s="229">
        <v>0</v>
      </c>
      <c r="BA735" s="91"/>
      <c r="CK735" s="160"/>
      <c r="CL735" s="18"/>
      <c r="CM735" s="18"/>
      <c r="CN735" s="18"/>
      <c r="CO735" s="18"/>
      <c r="CP735" s="18"/>
      <c r="DH735" s="232"/>
      <c r="DI735" s="234"/>
      <c r="DJ735" s="234"/>
      <c r="DK735" s="235"/>
      <c r="DL735" s="236"/>
      <c r="DM735" s="236"/>
      <c r="DN735" s="236"/>
    </row>
    <row r="736" spans="46:118" x14ac:dyDescent="0.3">
      <c r="AT736" s="44" t="str">
        <f t="shared" si="126"/>
        <v>14_24B.LX.IOV</v>
      </c>
      <c r="AU736" s="18" t="s">
        <v>71</v>
      </c>
      <c r="AV736" s="18" t="s">
        <v>428</v>
      </c>
      <c r="AW736" s="20" t="s">
        <v>1011</v>
      </c>
      <c r="AX736" s="228">
        <v>1220115</v>
      </c>
      <c r="AY736" s="229">
        <v>0</v>
      </c>
      <c r="BA736" s="91"/>
      <c r="CK736" s="160"/>
      <c r="CL736" s="18"/>
      <c r="CM736" s="18"/>
      <c r="CN736" s="18"/>
      <c r="CO736" s="18"/>
      <c r="CP736" s="18"/>
      <c r="DH736" s="232"/>
      <c r="DI736" s="234"/>
      <c r="DJ736" s="234"/>
      <c r="DK736" s="235"/>
      <c r="DL736" s="236"/>
      <c r="DM736" s="236"/>
      <c r="DN736" s="236"/>
    </row>
    <row r="737" spans="46:118" x14ac:dyDescent="0.3">
      <c r="AT737" s="44" t="str">
        <f t="shared" si="126"/>
        <v>14_26B.LX.IOV</v>
      </c>
      <c r="AU737" s="18" t="s">
        <v>71</v>
      </c>
      <c r="AV737" s="18" t="s">
        <v>512</v>
      </c>
      <c r="AW737" s="20" t="s">
        <v>1011</v>
      </c>
      <c r="AX737" s="228">
        <v>1220115</v>
      </c>
      <c r="AY737" s="229">
        <v>0</v>
      </c>
      <c r="BA737" s="91"/>
      <c r="CK737" s="160"/>
      <c r="CL737" s="18"/>
      <c r="CM737" s="18"/>
      <c r="CN737" s="18"/>
      <c r="CO737" s="18"/>
      <c r="CP737" s="18"/>
      <c r="DH737" s="232"/>
      <c r="DI737" s="234"/>
      <c r="DJ737" s="234"/>
      <c r="DK737" s="235"/>
      <c r="DL737" s="236"/>
      <c r="DM737" s="236"/>
      <c r="DN737" s="236"/>
    </row>
    <row r="738" spans="46:118" x14ac:dyDescent="0.3">
      <c r="AT738" s="44" t="str">
        <f t="shared" si="126"/>
        <v>15_16F.LX.IOV</v>
      </c>
      <c r="AU738" s="18" t="s">
        <v>71</v>
      </c>
      <c r="AV738" s="18" t="s">
        <v>698</v>
      </c>
      <c r="AW738" s="20" t="s">
        <v>1011</v>
      </c>
      <c r="AX738" s="228">
        <v>1220115</v>
      </c>
      <c r="AY738" s="229">
        <v>0</v>
      </c>
      <c r="BA738" s="91"/>
      <c r="CK738" s="160"/>
      <c r="CL738" s="18"/>
      <c r="CM738" s="18"/>
      <c r="CN738" s="18"/>
      <c r="CO738" s="18"/>
      <c r="CP738" s="18"/>
      <c r="DH738" s="232"/>
      <c r="DI738" s="234"/>
      <c r="DJ738" s="234"/>
      <c r="DK738" s="235"/>
      <c r="DL738" s="236"/>
      <c r="DM738" s="236"/>
      <c r="DN738" s="236"/>
    </row>
    <row r="739" spans="46:118" x14ac:dyDescent="0.3">
      <c r="AT739" s="44" t="str">
        <f t="shared" si="126"/>
        <v>15_16T.LX.IOV</v>
      </c>
      <c r="AU739" s="18" t="s">
        <v>71</v>
      </c>
      <c r="AV739" s="18" t="s">
        <v>977</v>
      </c>
      <c r="AW739" s="20" t="s">
        <v>1011</v>
      </c>
      <c r="AX739" s="228">
        <v>1220115</v>
      </c>
      <c r="AY739" s="229">
        <v>0</v>
      </c>
      <c r="BA739" s="91"/>
      <c r="CK739" s="160"/>
      <c r="CL739" s="18"/>
      <c r="CM739" s="18"/>
      <c r="CN739" s="18"/>
      <c r="CO739" s="18"/>
      <c r="CP739" s="18"/>
      <c r="DH739" s="232"/>
      <c r="DI739" s="234"/>
      <c r="DJ739" s="234"/>
      <c r="DK739" s="235"/>
      <c r="DL739" s="236"/>
      <c r="DM739" s="236"/>
      <c r="DN739" s="236"/>
    </row>
    <row r="740" spans="46:118" x14ac:dyDescent="0.3">
      <c r="AT740" s="44" t="str">
        <f t="shared" si="126"/>
        <v>16_16F.LX.IOV</v>
      </c>
      <c r="AU740" s="18" t="s">
        <v>71</v>
      </c>
      <c r="AV740" s="18" t="s">
        <v>714</v>
      </c>
      <c r="AW740" s="20" t="s">
        <v>1011</v>
      </c>
      <c r="AX740" s="228">
        <v>1220115</v>
      </c>
      <c r="AY740" s="229">
        <v>0</v>
      </c>
      <c r="BA740" s="91"/>
      <c r="CK740" s="160"/>
      <c r="CL740" s="18"/>
      <c r="CM740" s="18"/>
      <c r="CN740" s="18"/>
      <c r="CO740" s="18"/>
      <c r="CP740" s="18"/>
      <c r="DH740" s="232"/>
      <c r="DI740" s="234"/>
      <c r="DJ740" s="234"/>
      <c r="DK740" s="235"/>
      <c r="DL740" s="236"/>
      <c r="DM740" s="236"/>
      <c r="DN740" s="236"/>
    </row>
    <row r="741" spans="46:118" x14ac:dyDescent="0.3">
      <c r="AT741" s="44" t="str">
        <f t="shared" si="126"/>
        <v>16_16T.LX.IOV</v>
      </c>
      <c r="AU741" s="18" t="s">
        <v>71</v>
      </c>
      <c r="AV741" s="18" t="s">
        <v>985</v>
      </c>
      <c r="AW741" s="20" t="s">
        <v>1011</v>
      </c>
      <c r="AX741" s="228">
        <v>1220115</v>
      </c>
      <c r="AY741" s="229">
        <v>0</v>
      </c>
      <c r="BA741" s="91"/>
      <c r="CK741" s="160"/>
      <c r="CL741" s="18"/>
      <c r="CM741" s="18"/>
      <c r="CN741" s="18"/>
      <c r="CO741" s="18"/>
      <c r="CP741" s="18"/>
      <c r="DH741" s="232"/>
      <c r="DI741" s="234"/>
      <c r="DJ741" s="234"/>
      <c r="DK741" s="235"/>
      <c r="DL741" s="236"/>
      <c r="DM741" s="236"/>
      <c r="DN741" s="236"/>
    </row>
    <row r="742" spans="46:118" x14ac:dyDescent="0.3">
      <c r="AT742" s="44" t="str">
        <f t="shared" si="126"/>
        <v>16_18B.LX.IOV</v>
      </c>
      <c r="AU742" s="18" t="s">
        <v>71</v>
      </c>
      <c r="AV742" s="18" t="s">
        <v>186</v>
      </c>
      <c r="AW742" s="20" t="s">
        <v>1011</v>
      </c>
      <c r="AX742" s="228">
        <v>1220115</v>
      </c>
      <c r="AY742" s="229">
        <v>0</v>
      </c>
      <c r="BA742" s="91"/>
      <c r="CK742" s="160"/>
      <c r="CL742" s="18"/>
      <c r="CM742" s="18"/>
      <c r="CN742" s="18"/>
      <c r="CO742" s="18"/>
      <c r="CP742" s="18"/>
      <c r="DH742" s="232"/>
      <c r="DI742" s="234"/>
      <c r="DJ742" s="234"/>
      <c r="DK742" s="235"/>
      <c r="DL742" s="236"/>
      <c r="DM742" s="236"/>
      <c r="DN742" s="236"/>
    </row>
    <row r="743" spans="46:118" x14ac:dyDescent="0.3">
      <c r="AT743" s="44" t="str">
        <f t="shared" si="126"/>
        <v>16_18F.LX.IOV</v>
      </c>
      <c r="AU743" s="18" t="s">
        <v>71</v>
      </c>
      <c r="AV743" s="18" t="s">
        <v>726</v>
      </c>
      <c r="AW743" s="20" t="s">
        <v>1011</v>
      </c>
      <c r="AX743" s="228">
        <v>1220115</v>
      </c>
      <c r="AY743" s="229">
        <v>0</v>
      </c>
      <c r="BA743" s="91"/>
      <c r="CK743" s="160"/>
      <c r="CL743" s="18"/>
      <c r="CM743" s="18"/>
      <c r="CN743" s="18"/>
      <c r="CO743" s="18"/>
      <c r="CP743" s="18"/>
      <c r="DH743" s="232"/>
      <c r="DI743" s="234"/>
      <c r="DJ743" s="234"/>
      <c r="DK743" s="235"/>
      <c r="DL743" s="236"/>
      <c r="DM743" s="236"/>
      <c r="DN743" s="236"/>
    </row>
    <row r="744" spans="46:118" x14ac:dyDescent="0.3">
      <c r="AT744" s="44" t="str">
        <f t="shared" si="126"/>
        <v>16_20B.LX.IOV</v>
      </c>
      <c r="AU744" s="18" t="s">
        <v>71</v>
      </c>
      <c r="AV744" s="18" t="s">
        <v>293</v>
      </c>
      <c r="AW744" s="20" t="s">
        <v>1011</v>
      </c>
      <c r="AX744" s="228">
        <v>1220115</v>
      </c>
      <c r="AY744" s="229">
        <v>0</v>
      </c>
      <c r="BA744" s="91"/>
      <c r="CK744" s="160"/>
      <c r="CL744" s="18"/>
      <c r="CM744" s="18"/>
      <c r="CN744" s="18"/>
      <c r="CO744" s="18"/>
      <c r="CP744" s="18"/>
      <c r="DH744" s="232"/>
      <c r="DI744" s="234"/>
      <c r="DJ744" s="234"/>
      <c r="DK744" s="235"/>
      <c r="DL744" s="236"/>
      <c r="DM744" s="236"/>
      <c r="DN744" s="236"/>
    </row>
    <row r="745" spans="46:118" x14ac:dyDescent="0.3">
      <c r="AT745" s="44" t="str">
        <f t="shared" si="126"/>
        <v>16_22B.LX.IOV</v>
      </c>
      <c r="AU745" s="18" t="s">
        <v>71</v>
      </c>
      <c r="AV745" s="18" t="s">
        <v>365</v>
      </c>
      <c r="AW745" s="20" t="s">
        <v>1011</v>
      </c>
      <c r="AX745" s="228">
        <v>1220115</v>
      </c>
      <c r="AY745" s="229">
        <v>0</v>
      </c>
      <c r="BA745" s="91"/>
      <c r="CK745" s="160"/>
      <c r="CL745" s="18"/>
      <c r="CM745" s="18"/>
      <c r="CN745" s="18"/>
      <c r="CO745" s="18"/>
      <c r="CP745" s="18"/>
      <c r="DH745" s="232"/>
      <c r="DI745" s="234"/>
      <c r="DJ745" s="234"/>
      <c r="DK745" s="235"/>
      <c r="DL745" s="236"/>
      <c r="DM745" s="236"/>
      <c r="DN745" s="236"/>
    </row>
    <row r="746" spans="46:118" x14ac:dyDescent="0.3">
      <c r="AT746" s="44" t="str">
        <f t="shared" si="126"/>
        <v>16_24B.LX.IOV</v>
      </c>
      <c r="AU746" s="18" t="s">
        <v>71</v>
      </c>
      <c r="AV746" s="18" t="s">
        <v>444</v>
      </c>
      <c r="AW746" s="20" t="s">
        <v>1011</v>
      </c>
      <c r="AX746" s="228">
        <v>1220115</v>
      </c>
      <c r="AY746" s="229">
        <v>0</v>
      </c>
      <c r="BA746" s="91"/>
      <c r="CK746" s="160"/>
      <c r="CL746" s="18"/>
      <c r="CM746" s="18"/>
      <c r="CN746" s="18"/>
      <c r="CO746" s="18"/>
      <c r="CP746" s="18"/>
      <c r="DH746" s="232"/>
      <c r="DI746" s="234"/>
      <c r="DJ746" s="234"/>
      <c r="DK746" s="235"/>
      <c r="DL746" s="236"/>
      <c r="DM746" s="236"/>
      <c r="DN746" s="236"/>
    </row>
    <row r="747" spans="46:118" x14ac:dyDescent="0.3">
      <c r="AT747" s="44" t="str">
        <f t="shared" si="126"/>
        <v>16_26B.LX.IOV</v>
      </c>
      <c r="AU747" s="18" t="s">
        <v>71</v>
      </c>
      <c r="AV747" s="18" t="s">
        <v>532</v>
      </c>
      <c r="AW747" s="20" t="s">
        <v>1011</v>
      </c>
      <c r="AX747" s="228">
        <v>1220115</v>
      </c>
      <c r="AY747" s="229">
        <v>0</v>
      </c>
      <c r="BA747" s="91"/>
      <c r="CK747" s="160"/>
      <c r="CL747" s="18"/>
      <c r="CM747" s="18"/>
      <c r="CN747" s="18"/>
      <c r="CO747" s="18"/>
      <c r="CP747" s="18"/>
      <c r="DH747" s="232"/>
      <c r="DI747" s="234"/>
      <c r="DJ747" s="234"/>
      <c r="DK747" s="235"/>
      <c r="DL747" s="236"/>
      <c r="DM747" s="236"/>
      <c r="DN747" s="236"/>
    </row>
    <row r="748" spans="46:118" x14ac:dyDescent="0.3">
      <c r="AT748" s="44" t="str">
        <f t="shared" si="126"/>
        <v>18_20B.LX.IOV</v>
      </c>
      <c r="AU748" s="18" t="s">
        <v>71</v>
      </c>
      <c r="AV748" s="18" t="s">
        <v>312</v>
      </c>
      <c r="AW748" s="20" t="s">
        <v>1011</v>
      </c>
      <c r="AX748" s="228">
        <v>1220115</v>
      </c>
      <c r="AY748" s="229">
        <v>0</v>
      </c>
      <c r="BA748" s="91"/>
      <c r="CK748" s="160"/>
      <c r="CL748" s="18"/>
      <c r="CM748" s="18"/>
      <c r="CN748" s="18"/>
      <c r="CO748" s="18"/>
      <c r="CP748" s="18"/>
      <c r="DH748" s="232"/>
      <c r="DI748" s="234"/>
      <c r="DJ748" s="234"/>
      <c r="DK748" s="235"/>
      <c r="DL748" s="236"/>
      <c r="DM748" s="236"/>
      <c r="DN748" s="236"/>
    </row>
    <row r="749" spans="46:118" x14ac:dyDescent="0.3">
      <c r="AT749" s="44" t="str">
        <f t="shared" si="126"/>
        <v>18_22B.LX.IOV</v>
      </c>
      <c r="AU749" s="18" t="s">
        <v>71</v>
      </c>
      <c r="AV749" s="18" t="s">
        <v>382</v>
      </c>
      <c r="AW749" s="20" t="s">
        <v>1011</v>
      </c>
      <c r="AX749" s="228">
        <v>1220115</v>
      </c>
      <c r="AY749" s="229">
        <v>0</v>
      </c>
      <c r="BA749" s="91"/>
      <c r="CK749" s="160"/>
      <c r="CL749" s="18"/>
      <c r="CM749" s="18"/>
      <c r="CN749" s="18"/>
      <c r="CO749" s="18"/>
      <c r="CP749" s="18"/>
      <c r="DH749" s="232"/>
      <c r="DI749" s="234"/>
      <c r="DJ749" s="234"/>
      <c r="DK749" s="235"/>
      <c r="DL749" s="236"/>
      <c r="DM749" s="236"/>
      <c r="DN749" s="236"/>
    </row>
    <row r="750" spans="46:118" x14ac:dyDescent="0.3">
      <c r="AT750" s="44" t="str">
        <f t="shared" si="126"/>
        <v>18_24B.LX.IOV</v>
      </c>
      <c r="AU750" s="18" t="s">
        <v>71</v>
      </c>
      <c r="AV750" s="18" t="s">
        <v>461</v>
      </c>
      <c r="AW750" s="20" t="s">
        <v>1011</v>
      </c>
      <c r="AX750" s="228">
        <v>1220115</v>
      </c>
      <c r="AY750" s="229">
        <v>0</v>
      </c>
      <c r="BA750" s="91"/>
      <c r="CK750" s="160"/>
      <c r="CL750" s="18"/>
      <c r="CM750" s="18"/>
      <c r="CN750" s="18"/>
      <c r="CO750" s="18"/>
      <c r="CP750" s="18"/>
      <c r="DH750" s="232"/>
      <c r="DI750" s="234"/>
      <c r="DJ750" s="234"/>
      <c r="DK750" s="235"/>
      <c r="DL750" s="236"/>
      <c r="DM750" s="236"/>
      <c r="DN750" s="236"/>
    </row>
    <row r="751" spans="46:118" x14ac:dyDescent="0.3">
      <c r="AT751" s="44" t="str">
        <f t="shared" si="126"/>
        <v>20_20B.LX.IOV</v>
      </c>
      <c r="AU751" s="18" t="s">
        <v>71</v>
      </c>
      <c r="AV751" s="18" t="s">
        <v>331</v>
      </c>
      <c r="AW751" s="20" t="s">
        <v>1011</v>
      </c>
      <c r="AX751" s="228">
        <v>1220115</v>
      </c>
      <c r="AY751" s="229">
        <v>0</v>
      </c>
      <c r="BA751" s="91"/>
      <c r="CK751" s="160"/>
      <c r="CL751" s="18"/>
      <c r="CM751" s="18"/>
      <c r="CN751" s="18"/>
      <c r="CO751" s="18"/>
      <c r="CP751" s="18"/>
      <c r="DH751" s="232"/>
      <c r="DI751" s="234"/>
      <c r="DJ751" s="234"/>
      <c r="DK751" s="235"/>
      <c r="DL751" s="236"/>
      <c r="DM751" s="236"/>
      <c r="DN751" s="236"/>
    </row>
    <row r="752" spans="46:118" x14ac:dyDescent="0.3">
      <c r="AT752" s="44" t="str">
        <f t="shared" si="126"/>
        <v>20_22B.LX.IOV</v>
      </c>
      <c r="AU752" s="18" t="s">
        <v>71</v>
      </c>
      <c r="AV752" s="18" t="s">
        <v>400</v>
      </c>
      <c r="AW752" s="20" t="s">
        <v>1011</v>
      </c>
      <c r="AX752" s="228">
        <v>1220115</v>
      </c>
      <c r="AY752" s="229">
        <v>0</v>
      </c>
      <c r="BA752" s="91"/>
      <c r="CK752" s="160"/>
      <c r="CL752" s="18"/>
      <c r="CM752" s="18"/>
      <c r="CN752" s="18"/>
      <c r="CO752" s="18"/>
      <c r="CP752" s="18"/>
      <c r="DH752" s="232"/>
      <c r="DI752" s="234"/>
      <c r="DJ752" s="234"/>
      <c r="DK752" s="235"/>
      <c r="DL752" s="236"/>
      <c r="DM752" s="236"/>
      <c r="DN752" s="236"/>
    </row>
    <row r="753" spans="46:118" x14ac:dyDescent="0.3">
      <c r="AT753" s="44" t="str">
        <f t="shared" si="126"/>
        <v>20_24B.LX.IOV</v>
      </c>
      <c r="AU753" s="18" t="s">
        <v>71</v>
      </c>
      <c r="AV753" s="18" t="s">
        <v>479</v>
      </c>
      <c r="AW753" s="20" t="s">
        <v>1011</v>
      </c>
      <c r="AX753" s="228">
        <v>1220115</v>
      </c>
      <c r="AY753" s="229">
        <v>0</v>
      </c>
      <c r="BA753" s="91"/>
      <c r="CK753" s="160"/>
      <c r="CL753" s="18"/>
      <c r="CM753" s="18"/>
      <c r="CN753" s="18"/>
      <c r="CO753" s="18"/>
      <c r="CP753" s="18"/>
      <c r="DH753" s="232"/>
      <c r="DI753" s="234"/>
      <c r="DJ753" s="234"/>
      <c r="DK753" s="235"/>
      <c r="DL753" s="236"/>
      <c r="DM753" s="236"/>
      <c r="DN753" s="236"/>
    </row>
    <row r="754" spans="46:118" x14ac:dyDescent="0.3">
      <c r="AT754" s="44" t="str">
        <f t="shared" si="126"/>
        <v>4_14S.LX.IOV</v>
      </c>
      <c r="AU754" s="18" t="s">
        <v>71</v>
      </c>
      <c r="AV754" s="18" t="s">
        <v>1017</v>
      </c>
      <c r="AW754" s="20" t="s">
        <v>1011</v>
      </c>
      <c r="AX754" s="228">
        <v>1220115</v>
      </c>
      <c r="AY754" s="229">
        <v>0</v>
      </c>
      <c r="BA754" s="91"/>
      <c r="CK754" s="160"/>
      <c r="CL754" s="18"/>
      <c r="CM754" s="18"/>
      <c r="CN754" s="18"/>
      <c r="CO754" s="18"/>
      <c r="CP754" s="18"/>
      <c r="DH754" s="232"/>
      <c r="DI754" s="234"/>
      <c r="DJ754" s="234"/>
      <c r="DK754" s="235"/>
      <c r="DL754" s="236"/>
      <c r="DM754" s="236"/>
      <c r="DN754" s="236"/>
    </row>
    <row r="755" spans="46:118" x14ac:dyDescent="0.3">
      <c r="AT755" s="44" t="str">
        <f t="shared" si="126"/>
        <v>4_14x8S.LX.IOV</v>
      </c>
      <c r="AU755" s="18" t="s">
        <v>71</v>
      </c>
      <c r="AV755" s="18" t="s">
        <v>1049</v>
      </c>
      <c r="AW755" s="20" t="s">
        <v>1011</v>
      </c>
      <c r="AX755" s="228">
        <v>1220115</v>
      </c>
      <c r="AY755" s="229">
        <v>0</v>
      </c>
      <c r="BA755" s="91"/>
      <c r="CK755" s="160"/>
      <c r="CL755" s="18"/>
      <c r="CM755" s="18"/>
      <c r="CN755" s="18"/>
      <c r="CO755" s="18"/>
      <c r="CP755" s="18"/>
      <c r="DH755" s="232"/>
      <c r="DI755" s="234"/>
      <c r="DJ755" s="234"/>
      <c r="DK755" s="235"/>
      <c r="DL755" s="236"/>
      <c r="DM755" s="236"/>
      <c r="DN755" s="236"/>
    </row>
    <row r="756" spans="46:118" x14ac:dyDescent="0.3">
      <c r="AT756" s="44" t="str">
        <f t="shared" si="126"/>
        <v>5_14S.LX.IOV</v>
      </c>
      <c r="AU756" s="18" t="s">
        <v>71</v>
      </c>
      <c r="AV756" s="18" t="s">
        <v>1026</v>
      </c>
      <c r="AW756" s="20" t="s">
        <v>1011</v>
      </c>
      <c r="AX756" s="228">
        <v>1220115</v>
      </c>
      <c r="AY756" s="229">
        <v>0</v>
      </c>
      <c r="BA756" s="91"/>
      <c r="CK756" s="160"/>
      <c r="CL756" s="18"/>
      <c r="CM756" s="18"/>
      <c r="CN756" s="18"/>
      <c r="CO756" s="18"/>
      <c r="CP756" s="18"/>
      <c r="DH756" s="232"/>
      <c r="DI756" s="234"/>
      <c r="DJ756" s="234"/>
      <c r="DK756" s="235"/>
      <c r="DL756" s="236"/>
      <c r="DM756" s="236"/>
      <c r="DN756" s="236"/>
    </row>
    <row r="757" spans="46:118" x14ac:dyDescent="0.3">
      <c r="AT757" s="44" t="str">
        <f t="shared" si="126"/>
        <v>5_14x8S.LX.IOV</v>
      </c>
      <c r="AU757" s="18" t="s">
        <v>71</v>
      </c>
      <c r="AV757" s="18" t="s">
        <v>1059</v>
      </c>
      <c r="AW757" s="20" t="s">
        <v>1011</v>
      </c>
      <c r="AX757" s="228">
        <v>1220115</v>
      </c>
      <c r="AY757" s="229">
        <v>0</v>
      </c>
      <c r="BA757" s="91"/>
      <c r="CK757" s="160"/>
      <c r="CL757" s="18"/>
      <c r="CM757" s="18"/>
      <c r="CN757" s="18"/>
      <c r="CO757" s="18"/>
      <c r="CP757" s="18"/>
      <c r="DH757" s="232"/>
      <c r="DI757" s="234"/>
      <c r="DJ757" s="234"/>
      <c r="DK757" s="235"/>
      <c r="DL757" s="236"/>
      <c r="DM757" s="236"/>
      <c r="DN757" s="236"/>
    </row>
    <row r="758" spans="46:118" x14ac:dyDescent="0.3">
      <c r="AT758" s="44" t="str">
        <f t="shared" si="126"/>
        <v>5H_14x8S.LX.IOV</v>
      </c>
      <c r="AU758" s="18" t="s">
        <v>71</v>
      </c>
      <c r="AV758" s="18" t="s">
        <v>1067</v>
      </c>
      <c r="AW758" s="20" t="s">
        <v>1011</v>
      </c>
      <c r="AX758" s="228">
        <v>1220115</v>
      </c>
      <c r="AY758" s="229">
        <v>0</v>
      </c>
      <c r="BA758" s="91"/>
      <c r="CK758" s="160"/>
      <c r="CL758" s="18"/>
      <c r="CM758" s="18"/>
      <c r="CN758" s="18"/>
      <c r="CO758" s="18"/>
      <c r="CP758" s="18"/>
      <c r="DH758" s="232"/>
      <c r="DI758" s="234"/>
      <c r="DJ758" s="234"/>
      <c r="DK758" s="235"/>
      <c r="DL758" s="236"/>
      <c r="DM758" s="236"/>
      <c r="DN758" s="236"/>
    </row>
    <row r="759" spans="46:118" x14ac:dyDescent="0.3">
      <c r="AT759" s="44" t="str">
        <f t="shared" si="126"/>
        <v>6_12S.LX.IOV</v>
      </c>
      <c r="AU759" s="18" t="s">
        <v>71</v>
      </c>
      <c r="AV759" s="18" t="s">
        <v>995</v>
      </c>
      <c r="AW759" s="20" t="s">
        <v>1011</v>
      </c>
      <c r="AX759" s="228">
        <v>1220115</v>
      </c>
      <c r="AY759" s="229">
        <v>0</v>
      </c>
      <c r="BA759" s="91"/>
      <c r="CK759" s="160"/>
      <c r="CL759" s="18"/>
      <c r="CM759" s="18"/>
      <c r="CN759" s="18"/>
      <c r="CO759" s="18"/>
      <c r="CP759" s="18"/>
      <c r="DH759" s="232"/>
      <c r="DI759" s="234"/>
      <c r="DJ759" s="234"/>
      <c r="DK759" s="235"/>
      <c r="DL759" s="236"/>
      <c r="DM759" s="236"/>
      <c r="DN759" s="236"/>
    </row>
    <row r="760" spans="46:118" x14ac:dyDescent="0.3">
      <c r="AT760" s="44" t="str">
        <f t="shared" si="126"/>
        <v>6_13S.LX.IOV</v>
      </c>
      <c r="AU760" s="18" t="s">
        <v>71</v>
      </c>
      <c r="AV760" s="18" t="s">
        <v>1012</v>
      </c>
      <c r="AW760" s="20" t="s">
        <v>1011</v>
      </c>
      <c r="AX760" s="228">
        <v>1220115</v>
      </c>
      <c r="AY760" s="229">
        <v>0</v>
      </c>
      <c r="BA760" s="91"/>
      <c r="CK760" s="160"/>
      <c r="CL760" s="18"/>
      <c r="CM760" s="18"/>
      <c r="CN760" s="18"/>
      <c r="CO760" s="18"/>
      <c r="CP760" s="18"/>
      <c r="DH760" s="232"/>
      <c r="DI760" s="234"/>
      <c r="DJ760" s="234"/>
      <c r="DK760" s="235"/>
      <c r="DL760" s="236"/>
      <c r="DM760" s="236"/>
      <c r="DN760" s="236"/>
    </row>
    <row r="761" spans="46:118" x14ac:dyDescent="0.3">
      <c r="AT761" s="44" t="str">
        <f t="shared" si="126"/>
        <v>6H_14S.LX.IOV</v>
      </c>
      <c r="AU761" s="18" t="s">
        <v>71</v>
      </c>
      <c r="AV761" s="18" t="s">
        <v>1039</v>
      </c>
      <c r="AW761" s="20" t="s">
        <v>1011</v>
      </c>
      <c r="AX761" s="228">
        <v>1220115</v>
      </c>
      <c r="AY761" s="229">
        <v>0</v>
      </c>
      <c r="BA761" s="91"/>
      <c r="CK761" s="160"/>
      <c r="CL761" s="18"/>
      <c r="CM761" s="18"/>
      <c r="CN761" s="18"/>
      <c r="CO761" s="18"/>
      <c r="CP761" s="18"/>
      <c r="DH761" s="232"/>
      <c r="DI761" s="234"/>
      <c r="DJ761" s="234"/>
      <c r="DK761" s="235"/>
      <c r="DL761" s="236"/>
      <c r="DM761" s="236"/>
      <c r="DN761" s="236"/>
    </row>
    <row r="762" spans="46:118" x14ac:dyDescent="0.3">
      <c r="AT762" s="44" t="str">
        <f t="shared" si="126"/>
        <v>6H_14x8S.LX.IOV</v>
      </c>
      <c r="AU762" s="18" t="s">
        <v>71</v>
      </c>
      <c r="AV762" s="18" t="s">
        <v>1075</v>
      </c>
      <c r="AW762" s="20" t="s">
        <v>1011</v>
      </c>
      <c r="AX762" s="228">
        <v>1220115</v>
      </c>
      <c r="AY762" s="229">
        <v>0</v>
      </c>
      <c r="BA762" s="91"/>
      <c r="CK762" s="160"/>
      <c r="CL762" s="18"/>
      <c r="CM762" s="18"/>
      <c r="CN762" s="18"/>
      <c r="CO762" s="18"/>
      <c r="CP762" s="18"/>
      <c r="DH762" s="232"/>
      <c r="DI762" s="234"/>
      <c r="DJ762" s="234"/>
      <c r="DK762" s="235"/>
      <c r="DL762" s="236"/>
      <c r="DM762" s="236"/>
      <c r="DN762" s="236"/>
    </row>
    <row r="763" spans="46:118" x14ac:dyDescent="0.3">
      <c r="AT763" s="44" t="str">
        <f t="shared" si="126"/>
        <v>7_10T.LX.IOV</v>
      </c>
      <c r="AU763" s="18" t="s">
        <v>71</v>
      </c>
      <c r="AV763" s="18" t="s">
        <v>763</v>
      </c>
      <c r="AW763" s="20" t="s">
        <v>1011</v>
      </c>
      <c r="AX763" s="228">
        <v>1220115</v>
      </c>
      <c r="AY763" s="229">
        <v>0</v>
      </c>
      <c r="BA763" s="91"/>
      <c r="CK763" s="160"/>
      <c r="CL763" s="18"/>
      <c r="CM763" s="18"/>
      <c r="CN763" s="18"/>
      <c r="CO763" s="18"/>
      <c r="CP763" s="18"/>
      <c r="DH763" s="232"/>
      <c r="DI763" s="234"/>
      <c r="DJ763" s="234"/>
      <c r="DK763" s="235"/>
      <c r="DL763" s="236"/>
      <c r="DM763" s="236"/>
      <c r="DN763" s="236"/>
    </row>
    <row r="764" spans="46:118" x14ac:dyDescent="0.3">
      <c r="AT764" s="44" t="str">
        <f t="shared" si="126"/>
        <v>7H_10T.LX.IOV</v>
      </c>
      <c r="AU764" s="18" t="s">
        <v>71</v>
      </c>
      <c r="AV764" s="18" t="s">
        <v>769</v>
      </c>
      <c r="AW764" s="20" t="s">
        <v>1011</v>
      </c>
      <c r="AX764" s="228">
        <v>1220115</v>
      </c>
      <c r="AY764" s="229">
        <v>0</v>
      </c>
      <c r="BA764" s="91"/>
      <c r="CK764" s="160"/>
      <c r="CL764" s="18"/>
      <c r="CM764" s="18"/>
      <c r="CN764" s="18"/>
      <c r="CO764" s="18"/>
      <c r="CP764" s="18"/>
      <c r="DH764" s="232"/>
      <c r="DI764" s="234"/>
      <c r="DJ764" s="234"/>
      <c r="DK764" s="235"/>
      <c r="DL764" s="236"/>
      <c r="DM764" s="236"/>
      <c r="DN764" s="236"/>
    </row>
    <row r="765" spans="46:118" x14ac:dyDescent="0.3">
      <c r="AT765" s="44" t="str">
        <f t="shared" si="126"/>
        <v>8_10T.LX.IOV</v>
      </c>
      <c r="AU765" s="18" t="s">
        <v>71</v>
      </c>
      <c r="AV765" s="18" t="s">
        <v>776</v>
      </c>
      <c r="AW765" s="20" t="s">
        <v>1011</v>
      </c>
      <c r="AX765" s="228">
        <v>1220115</v>
      </c>
      <c r="AY765" s="229">
        <v>0</v>
      </c>
      <c r="BA765" s="91"/>
      <c r="CK765" s="160"/>
      <c r="CL765" s="18"/>
      <c r="CM765" s="18"/>
      <c r="CN765" s="18"/>
      <c r="CO765" s="18"/>
      <c r="CP765" s="18"/>
      <c r="DH765" s="232"/>
      <c r="DI765" s="234"/>
      <c r="DJ765" s="234"/>
      <c r="DK765" s="235"/>
      <c r="DL765" s="236"/>
      <c r="DM765" s="236"/>
      <c r="DN765" s="236"/>
    </row>
    <row r="766" spans="46:118" x14ac:dyDescent="0.3">
      <c r="AT766" s="44" t="str">
        <f t="shared" si="126"/>
        <v>8_12T.LX.IOV</v>
      </c>
      <c r="AU766" s="18" t="s">
        <v>71</v>
      </c>
      <c r="AV766" s="18" t="s">
        <v>791</v>
      </c>
      <c r="AW766" s="20" t="s">
        <v>1011</v>
      </c>
      <c r="AX766" s="228">
        <v>1220115</v>
      </c>
      <c r="AY766" s="229">
        <v>0</v>
      </c>
      <c r="BA766" s="91"/>
      <c r="CK766" s="160"/>
      <c r="CL766" s="18"/>
      <c r="CM766" s="18"/>
      <c r="CN766" s="18"/>
      <c r="CO766" s="18"/>
      <c r="CP766" s="18"/>
      <c r="DH766" s="232"/>
      <c r="DI766" s="234"/>
      <c r="DJ766" s="234"/>
      <c r="DK766" s="235"/>
      <c r="DL766" s="236"/>
      <c r="DM766" s="236"/>
      <c r="DN766" s="236"/>
    </row>
    <row r="767" spans="46:118" x14ac:dyDescent="0.3">
      <c r="AT767" s="44" t="str">
        <f t="shared" si="126"/>
        <v>8_14S.LX.IOV</v>
      </c>
      <c r="AU767" s="18" t="s">
        <v>71</v>
      </c>
      <c r="AV767" s="18" t="s">
        <v>1046</v>
      </c>
      <c r="AW767" s="20" t="s">
        <v>1011</v>
      </c>
      <c r="AX767" s="228">
        <v>1220115</v>
      </c>
      <c r="AY767" s="229">
        <v>0</v>
      </c>
      <c r="BA767" s="91"/>
      <c r="CK767" s="160"/>
      <c r="CL767" s="18"/>
      <c r="CM767" s="18"/>
      <c r="CN767" s="18"/>
      <c r="CO767" s="18"/>
      <c r="CP767" s="18"/>
      <c r="DH767" s="232"/>
      <c r="DI767" s="234"/>
      <c r="DJ767" s="234"/>
      <c r="DK767" s="235"/>
      <c r="DL767" s="236"/>
      <c r="DM767" s="236"/>
      <c r="DN767" s="236"/>
    </row>
    <row r="768" spans="46:118" x14ac:dyDescent="0.3">
      <c r="AT768" s="44" t="str">
        <f t="shared" si="126"/>
        <v>9_10T.LX.IOV</v>
      </c>
      <c r="AU768" s="18" t="s">
        <v>71</v>
      </c>
      <c r="AV768" s="18" t="s">
        <v>783</v>
      </c>
      <c r="AW768" s="20" t="s">
        <v>1011</v>
      </c>
      <c r="AX768" s="228">
        <v>1220115</v>
      </c>
      <c r="AY768" s="229">
        <v>0</v>
      </c>
      <c r="BA768" s="91"/>
      <c r="CK768" s="160"/>
      <c r="CL768" s="18"/>
      <c r="CM768" s="18"/>
      <c r="CN768" s="18"/>
      <c r="CO768" s="18"/>
      <c r="CP768" s="18"/>
      <c r="DH768" s="232"/>
      <c r="DI768" s="234"/>
      <c r="DJ768" s="234"/>
      <c r="DK768" s="235"/>
      <c r="DL768" s="236"/>
      <c r="DM768" s="236"/>
      <c r="DN768" s="236"/>
    </row>
    <row r="769" spans="46:118" x14ac:dyDescent="0.3">
      <c r="AT769" s="44" t="str">
        <f t="shared" si="126"/>
        <v>9_12T.LX.IOV</v>
      </c>
      <c r="AU769" s="18" t="s">
        <v>71</v>
      </c>
      <c r="AV769" s="18" t="s">
        <v>804</v>
      </c>
      <c r="AW769" s="20" t="s">
        <v>1011</v>
      </c>
      <c r="AX769" s="228">
        <v>1220115</v>
      </c>
      <c r="AY769" s="229">
        <v>0</v>
      </c>
      <c r="BA769" s="91"/>
      <c r="CK769" s="160"/>
      <c r="CL769" s="18"/>
      <c r="CM769" s="18"/>
      <c r="CN769" s="18"/>
      <c r="CO769" s="18"/>
      <c r="CP769" s="18"/>
      <c r="DH769" s="232"/>
      <c r="DI769" s="234"/>
      <c r="DJ769" s="234"/>
      <c r="DK769" s="235"/>
      <c r="DL769" s="236"/>
      <c r="DM769" s="236"/>
      <c r="DN769" s="236"/>
    </row>
    <row r="770" spans="46:118" x14ac:dyDescent="0.3">
      <c r="AT770" s="44" t="str">
        <f t="shared" si="126"/>
        <v>9_13T.LX.IOV</v>
      </c>
      <c r="AU770" s="18" t="s">
        <v>71</v>
      </c>
      <c r="AV770" s="18" t="s">
        <v>837</v>
      </c>
      <c r="AW770" s="20" t="s">
        <v>1011</v>
      </c>
      <c r="AX770" s="228">
        <v>1220115</v>
      </c>
      <c r="AY770" s="229">
        <v>0</v>
      </c>
      <c r="BA770" s="91"/>
      <c r="CK770" s="160"/>
      <c r="CL770" s="18"/>
      <c r="CM770" s="18"/>
      <c r="CN770" s="18"/>
      <c r="CO770" s="18"/>
      <c r="CP770" s="18"/>
      <c r="DH770" s="232"/>
      <c r="DI770" s="234"/>
      <c r="DJ770" s="234"/>
      <c r="DK770" s="235"/>
      <c r="DL770" s="236"/>
      <c r="DM770" s="236"/>
      <c r="DN770" s="236"/>
    </row>
    <row r="771" spans="46:118" x14ac:dyDescent="0.3">
      <c r="AT771" s="44" t="str">
        <f t="shared" si="126"/>
        <v>9_14T.LX.IOV</v>
      </c>
      <c r="AU771" s="18" t="s">
        <v>71</v>
      </c>
      <c r="AV771" s="18" t="s">
        <v>874</v>
      </c>
      <c r="AW771" s="20" t="s">
        <v>1011</v>
      </c>
      <c r="AX771" s="228">
        <v>1220115</v>
      </c>
      <c r="AY771" s="229">
        <v>0</v>
      </c>
      <c r="BA771" s="91"/>
      <c r="CK771" s="160"/>
      <c r="CL771" s="18"/>
      <c r="CM771" s="18"/>
      <c r="CN771" s="18"/>
      <c r="CO771" s="18"/>
      <c r="CP771" s="18"/>
      <c r="DH771" s="232"/>
      <c r="DI771" s="234"/>
      <c r="DJ771" s="234"/>
      <c r="DK771" s="235"/>
      <c r="DL771" s="236"/>
      <c r="DM771" s="236"/>
      <c r="DN771" s="236"/>
    </row>
    <row r="772" spans="46:118" x14ac:dyDescent="0.3">
      <c r="AT772" s="44" t="str">
        <f t="shared" si="126"/>
        <v>10_12T.LX.S</v>
      </c>
      <c r="AU772" s="18" t="s">
        <v>71</v>
      </c>
      <c r="AV772" s="18" t="s">
        <v>813</v>
      </c>
      <c r="AW772" s="20" t="s">
        <v>377</v>
      </c>
      <c r="AX772" s="228">
        <v>1220115</v>
      </c>
      <c r="AY772" s="229">
        <v>0</v>
      </c>
      <c r="BA772" s="91"/>
      <c r="CK772" s="160"/>
      <c r="CL772" s="18"/>
      <c r="CM772" s="18"/>
      <c r="CN772" s="18"/>
      <c r="CO772" s="18"/>
      <c r="CP772" s="18"/>
      <c r="DH772" s="232"/>
      <c r="DI772" s="234"/>
      <c r="DJ772" s="234"/>
      <c r="DK772" s="235"/>
      <c r="DL772" s="236"/>
      <c r="DM772" s="236"/>
      <c r="DN772" s="236"/>
    </row>
    <row r="773" spans="46:118" x14ac:dyDescent="0.3">
      <c r="AT773" s="44" t="str">
        <f t="shared" si="126"/>
        <v>10_13T.LX.S</v>
      </c>
      <c r="AU773" s="18" t="s">
        <v>71</v>
      </c>
      <c r="AV773" s="18" t="s">
        <v>848</v>
      </c>
      <c r="AW773" s="20" t="s">
        <v>377</v>
      </c>
      <c r="AX773" s="228">
        <v>1220115</v>
      </c>
      <c r="AY773" s="229">
        <v>0</v>
      </c>
      <c r="BA773" s="91"/>
      <c r="CK773" s="160"/>
      <c r="CL773" s="18"/>
      <c r="CM773" s="18"/>
      <c r="CN773" s="18"/>
      <c r="CO773" s="18"/>
      <c r="CP773" s="18"/>
      <c r="DH773" s="232"/>
      <c r="DI773" s="234"/>
      <c r="DJ773" s="234"/>
      <c r="DK773" s="235"/>
      <c r="DL773" s="236"/>
      <c r="DM773" s="236"/>
      <c r="DN773" s="236"/>
    </row>
    <row r="774" spans="46:118" x14ac:dyDescent="0.3">
      <c r="AT774" s="44" t="str">
        <f t="shared" si="126"/>
        <v>10_14S.LX.S</v>
      </c>
      <c r="AU774" s="18" t="s">
        <v>71</v>
      </c>
      <c r="AV774" s="18" t="s">
        <v>1122</v>
      </c>
      <c r="AW774" s="20" t="s">
        <v>377</v>
      </c>
      <c r="AX774" s="228">
        <v>1220115</v>
      </c>
      <c r="AY774" s="229">
        <v>0</v>
      </c>
      <c r="BA774" s="91"/>
      <c r="CK774" s="160"/>
      <c r="CL774" s="18"/>
      <c r="CM774" s="18"/>
      <c r="CN774" s="18"/>
      <c r="CO774" s="18"/>
      <c r="CP774" s="18"/>
      <c r="DH774" s="232"/>
      <c r="DI774" s="234"/>
      <c r="DJ774" s="234"/>
      <c r="DK774" s="235"/>
      <c r="DL774" s="236"/>
      <c r="DM774" s="236"/>
      <c r="DN774" s="236"/>
    </row>
    <row r="775" spans="46:118" x14ac:dyDescent="0.3">
      <c r="AT775" s="44" t="str">
        <f t="shared" si="126"/>
        <v>10_14T.LX.S</v>
      </c>
      <c r="AU775" s="18" t="s">
        <v>71</v>
      </c>
      <c r="AV775" s="18" t="s">
        <v>887</v>
      </c>
      <c r="AW775" s="20" t="s">
        <v>377</v>
      </c>
      <c r="AX775" s="228">
        <v>1220115</v>
      </c>
      <c r="AY775" s="229">
        <v>0</v>
      </c>
      <c r="BA775" s="91"/>
      <c r="CK775" s="160"/>
      <c r="CL775" s="18"/>
      <c r="CM775" s="18"/>
      <c r="CN775" s="18"/>
      <c r="CO775" s="18"/>
      <c r="CP775" s="18"/>
      <c r="DH775" s="232"/>
      <c r="DI775" s="234"/>
      <c r="DJ775" s="234"/>
      <c r="DK775" s="235"/>
      <c r="DL775" s="236"/>
      <c r="DM775" s="236"/>
      <c r="DN775" s="236"/>
    </row>
    <row r="776" spans="46:118" x14ac:dyDescent="0.3">
      <c r="AT776" s="44" t="str">
        <f t="shared" si="126"/>
        <v>11_12T.LX.S</v>
      </c>
      <c r="AU776" s="18" t="s">
        <v>71</v>
      </c>
      <c r="AV776" s="18" t="s">
        <v>825</v>
      </c>
      <c r="AW776" s="20" t="s">
        <v>377</v>
      </c>
      <c r="AX776" s="228">
        <v>1220115</v>
      </c>
      <c r="AY776" s="229">
        <v>0</v>
      </c>
      <c r="BA776" s="91"/>
      <c r="CK776" s="160"/>
      <c r="CL776" s="18"/>
      <c r="CM776" s="18"/>
      <c r="CN776" s="18"/>
      <c r="CO776" s="18"/>
      <c r="CP776" s="18"/>
      <c r="DH776" s="232"/>
      <c r="DI776" s="234"/>
      <c r="DJ776" s="234"/>
      <c r="DK776" s="235"/>
      <c r="DL776" s="236"/>
      <c r="DM776" s="236"/>
      <c r="DN776" s="236"/>
    </row>
    <row r="777" spans="46:118" x14ac:dyDescent="0.3">
      <c r="AT777" s="44" t="str">
        <f t="shared" si="126"/>
        <v>11_13T.LX.S</v>
      </c>
      <c r="AU777" s="18" t="s">
        <v>71</v>
      </c>
      <c r="AV777" s="18" t="s">
        <v>857</v>
      </c>
      <c r="AW777" s="20" t="s">
        <v>377</v>
      </c>
      <c r="AX777" s="228">
        <v>1220115</v>
      </c>
      <c r="AY777" s="229">
        <v>0</v>
      </c>
      <c r="BA777" s="91"/>
      <c r="CK777" s="160"/>
      <c r="CL777" s="18"/>
      <c r="CM777" s="18"/>
      <c r="CN777" s="18"/>
      <c r="CO777" s="18"/>
      <c r="CP777" s="18"/>
      <c r="DH777" s="232"/>
      <c r="DI777" s="234"/>
      <c r="DJ777" s="234"/>
      <c r="DK777" s="235"/>
      <c r="DL777" s="236"/>
      <c r="DM777" s="236"/>
      <c r="DN777" s="236"/>
    </row>
    <row r="778" spans="46:118" x14ac:dyDescent="0.3">
      <c r="AT778" s="44" t="str">
        <f t="shared" si="126"/>
        <v>11_14T.LX.S</v>
      </c>
      <c r="AU778" s="18" t="s">
        <v>71</v>
      </c>
      <c r="AV778" s="18" t="s">
        <v>900</v>
      </c>
      <c r="AW778" s="20" t="s">
        <v>377</v>
      </c>
      <c r="AX778" s="228">
        <v>1220115</v>
      </c>
      <c r="AY778" s="229">
        <v>0</v>
      </c>
      <c r="BA778" s="91"/>
      <c r="CK778" s="160"/>
      <c r="CL778" s="18"/>
      <c r="CM778" s="18"/>
      <c r="CN778" s="18"/>
      <c r="CO778" s="18"/>
      <c r="CP778" s="18"/>
      <c r="DH778" s="232"/>
      <c r="DI778" s="234"/>
      <c r="DJ778" s="234"/>
      <c r="DK778" s="235"/>
      <c r="DL778" s="236"/>
      <c r="DM778" s="236"/>
      <c r="DN778" s="236"/>
    </row>
    <row r="779" spans="46:118" x14ac:dyDescent="0.3">
      <c r="AT779" s="44" t="str">
        <f t="shared" si="126"/>
        <v>12_13T.LX.S</v>
      </c>
      <c r="AU779" s="18" t="s">
        <v>71</v>
      </c>
      <c r="AV779" s="18" t="s">
        <v>865</v>
      </c>
      <c r="AW779" s="20" t="s">
        <v>377</v>
      </c>
      <c r="AX779" s="228">
        <v>1220115</v>
      </c>
      <c r="AY779" s="229">
        <v>0</v>
      </c>
      <c r="BA779" s="91"/>
      <c r="CK779" s="160"/>
      <c r="CL779" s="18"/>
      <c r="CM779" s="18"/>
      <c r="CN779" s="18"/>
      <c r="CO779" s="18"/>
      <c r="CP779" s="18"/>
      <c r="DH779" s="232"/>
      <c r="DI779" s="234"/>
      <c r="DJ779" s="234"/>
      <c r="DK779" s="235"/>
      <c r="DL779" s="236"/>
      <c r="DM779" s="236"/>
      <c r="DN779" s="236"/>
    </row>
    <row r="780" spans="46:118" x14ac:dyDescent="0.3">
      <c r="AT780" s="44" t="str">
        <f t="shared" si="126"/>
        <v>12_14F.LX.S</v>
      </c>
      <c r="AU780" s="18" t="s">
        <v>71</v>
      </c>
      <c r="AV780" s="18" t="s">
        <v>583</v>
      </c>
      <c r="AW780" s="20" t="s">
        <v>377</v>
      </c>
      <c r="AX780" s="228">
        <v>1220115</v>
      </c>
      <c r="AY780" s="229">
        <v>0</v>
      </c>
      <c r="BA780" s="91"/>
      <c r="CK780" s="160"/>
      <c r="CL780" s="18"/>
      <c r="CM780" s="18"/>
      <c r="CN780" s="18"/>
      <c r="CO780" s="18"/>
      <c r="CP780" s="219"/>
      <c r="DH780" s="232"/>
      <c r="DI780" s="234"/>
      <c r="DJ780" s="234"/>
      <c r="DK780" s="235"/>
      <c r="DL780" s="236"/>
      <c r="DM780" s="236"/>
      <c r="DN780" s="236"/>
    </row>
    <row r="781" spans="46:118" x14ac:dyDescent="0.3">
      <c r="AT781" s="44" t="str">
        <f t="shared" si="126"/>
        <v>12_14T.LX.S</v>
      </c>
      <c r="AU781" s="18" t="s">
        <v>71</v>
      </c>
      <c r="AV781" s="18" t="s">
        <v>913</v>
      </c>
      <c r="AW781" s="20" t="s">
        <v>377</v>
      </c>
      <c r="AX781" s="228">
        <v>1220115</v>
      </c>
      <c r="AY781" s="229">
        <v>0</v>
      </c>
      <c r="BA781" s="91"/>
      <c r="CK781" s="160"/>
      <c r="CL781" s="18"/>
      <c r="CM781" s="18"/>
      <c r="CN781" s="18"/>
      <c r="CO781" s="18"/>
      <c r="CP781" s="219"/>
      <c r="DH781" s="232"/>
      <c r="DI781" s="234"/>
      <c r="DJ781" s="234"/>
      <c r="DK781" s="235"/>
      <c r="DL781" s="236"/>
      <c r="DM781" s="236"/>
      <c r="DN781" s="236"/>
    </row>
    <row r="782" spans="46:118" x14ac:dyDescent="0.3">
      <c r="AT782" s="44" t="str">
        <f t="shared" si="126"/>
        <v>12_15T.LX.S</v>
      </c>
      <c r="AU782" s="18" t="s">
        <v>71</v>
      </c>
      <c r="AV782" s="18" t="s">
        <v>941</v>
      </c>
      <c r="AW782" s="20" t="s">
        <v>377</v>
      </c>
      <c r="AX782" s="228">
        <v>1220115</v>
      </c>
      <c r="AY782" s="229">
        <v>0</v>
      </c>
      <c r="BA782" s="91"/>
      <c r="CK782" s="160"/>
      <c r="CL782" s="18"/>
      <c r="CM782" s="18"/>
      <c r="CN782" s="18"/>
      <c r="CO782" s="18"/>
      <c r="CP782" s="219"/>
      <c r="DH782" s="232"/>
      <c r="DI782" s="234"/>
      <c r="DJ782" s="234"/>
      <c r="DK782" s="235"/>
      <c r="DL782" s="236"/>
      <c r="DM782" s="236"/>
      <c r="DN782" s="236"/>
    </row>
    <row r="783" spans="46:118" x14ac:dyDescent="0.3">
      <c r="AT783" s="44" t="str">
        <f t="shared" si="126"/>
        <v>12_18B.LX.S</v>
      </c>
      <c r="AU783" s="18" t="s">
        <v>71</v>
      </c>
      <c r="AV783" s="18" t="s">
        <v>133</v>
      </c>
      <c r="AW783" s="20" t="s">
        <v>377</v>
      </c>
      <c r="AX783" s="228">
        <v>1220115</v>
      </c>
      <c r="AY783" s="229">
        <v>0</v>
      </c>
      <c r="BA783" s="91"/>
      <c r="CK783" s="160"/>
      <c r="CL783" s="18"/>
      <c r="CM783" s="18"/>
      <c r="CN783" s="18"/>
      <c r="CO783" s="18"/>
      <c r="CP783" s="219"/>
      <c r="DH783" s="232"/>
      <c r="DI783" s="234"/>
      <c r="DJ783" s="234"/>
      <c r="DK783" s="235"/>
      <c r="DL783" s="236"/>
      <c r="DM783" s="236"/>
      <c r="DN783" s="236"/>
    </row>
    <row r="784" spans="46:118" x14ac:dyDescent="0.3">
      <c r="AT784" s="44" t="str">
        <f t="shared" si="126"/>
        <v>12_20B.LX.S</v>
      </c>
      <c r="AU784" s="18" t="s">
        <v>71</v>
      </c>
      <c r="AV784" s="18" t="s">
        <v>217</v>
      </c>
      <c r="AW784" s="20" t="s">
        <v>377</v>
      </c>
      <c r="AX784" s="228">
        <v>1220115</v>
      </c>
      <c r="AY784" s="229">
        <v>0</v>
      </c>
      <c r="BA784" s="91"/>
      <c r="CK784" s="160"/>
      <c r="CL784" s="18"/>
      <c r="CM784" s="18"/>
      <c r="CN784" s="18"/>
      <c r="CO784" s="18"/>
      <c r="CP784" s="219"/>
      <c r="DH784" s="232"/>
      <c r="DI784" s="234"/>
      <c r="DJ784" s="234"/>
      <c r="DK784" s="235"/>
      <c r="DL784" s="236"/>
      <c r="DM784" s="236"/>
      <c r="DN784" s="236"/>
    </row>
    <row r="785" spans="46:118" x14ac:dyDescent="0.3">
      <c r="AT785" s="44" t="str">
        <f t="shared" si="126"/>
        <v>12_22B.LX.S</v>
      </c>
      <c r="AU785" s="18" t="s">
        <v>71</v>
      </c>
      <c r="AV785" s="18" t="s">
        <v>330</v>
      </c>
      <c r="AW785" s="20" t="s">
        <v>377</v>
      </c>
      <c r="AX785" s="228">
        <v>1220115</v>
      </c>
      <c r="AY785" s="229">
        <v>0</v>
      </c>
      <c r="BA785" s="91"/>
      <c r="CK785" s="160"/>
      <c r="CL785" s="18"/>
      <c r="CM785" s="18"/>
      <c r="CN785" s="18"/>
      <c r="CO785" s="18"/>
      <c r="CP785" s="219"/>
      <c r="DH785" s="232"/>
      <c r="DI785" s="234"/>
      <c r="DJ785" s="234"/>
      <c r="DK785" s="235"/>
      <c r="DL785" s="236"/>
      <c r="DM785" s="236"/>
      <c r="DN785" s="236"/>
    </row>
    <row r="786" spans="46:118" x14ac:dyDescent="0.3">
      <c r="AT786" s="44" t="str">
        <f t="shared" si="126"/>
        <v>12_24B.LX.S</v>
      </c>
      <c r="AU786" s="18" t="s">
        <v>71</v>
      </c>
      <c r="AV786" s="18" t="s">
        <v>413</v>
      </c>
      <c r="AW786" s="20" t="s">
        <v>377</v>
      </c>
      <c r="AX786" s="228">
        <v>1220115</v>
      </c>
      <c r="AY786" s="229">
        <v>0</v>
      </c>
      <c r="BA786" s="91"/>
      <c r="CK786" s="160"/>
      <c r="CL786" s="18"/>
      <c r="CM786" s="18"/>
      <c r="CN786" s="18"/>
      <c r="CO786" s="18"/>
      <c r="CP786" s="219"/>
      <c r="DH786" s="232"/>
      <c r="DI786" s="234"/>
      <c r="DJ786" s="234"/>
      <c r="DK786" s="235"/>
      <c r="DL786" s="236"/>
      <c r="DM786" s="236"/>
      <c r="DN786" s="236"/>
    </row>
    <row r="787" spans="46:118" x14ac:dyDescent="0.3">
      <c r="AT787" s="44" t="str">
        <f t="shared" ref="AT787:AT850" si="127">CONCATENATE(AV787,".",AU787,".",AW787)</f>
        <v>12_26B.LX.S</v>
      </c>
      <c r="AU787" s="18" t="s">
        <v>71</v>
      </c>
      <c r="AV787" s="18" t="s">
        <v>494</v>
      </c>
      <c r="AW787" s="20" t="s">
        <v>377</v>
      </c>
      <c r="AX787" s="228">
        <v>1220115</v>
      </c>
      <c r="AY787" s="229">
        <v>0</v>
      </c>
      <c r="BA787" s="91"/>
      <c r="CK787" s="160"/>
      <c r="CL787" s="18"/>
      <c r="CM787" s="18"/>
      <c r="CN787" s="18"/>
      <c r="CO787" s="18"/>
      <c r="CP787" s="219"/>
      <c r="DH787" s="232"/>
      <c r="DI787" s="234"/>
      <c r="DJ787" s="234"/>
      <c r="DK787" s="235"/>
      <c r="DL787" s="236"/>
      <c r="DM787" s="236"/>
      <c r="DN787" s="236"/>
    </row>
    <row r="788" spans="46:118" x14ac:dyDescent="0.3">
      <c r="AT788" s="44" t="str">
        <f t="shared" si="127"/>
        <v>13_14F.LX.S</v>
      </c>
      <c r="AU788" s="18" t="s">
        <v>71</v>
      </c>
      <c r="AV788" s="18" t="s">
        <v>602</v>
      </c>
      <c r="AW788" s="20" t="s">
        <v>377</v>
      </c>
      <c r="AX788" s="228">
        <v>1220115</v>
      </c>
      <c r="AY788" s="229">
        <v>0</v>
      </c>
      <c r="BA788" s="91"/>
      <c r="CK788" s="160"/>
      <c r="CL788" s="18"/>
      <c r="CM788" s="18"/>
      <c r="CN788" s="18"/>
      <c r="CO788" s="18"/>
      <c r="CP788" s="219"/>
      <c r="DH788" s="232"/>
      <c r="DI788" s="234"/>
      <c r="DJ788" s="234"/>
      <c r="DK788" s="235"/>
      <c r="DL788" s="236"/>
      <c r="DM788" s="236"/>
      <c r="DN788" s="236"/>
    </row>
    <row r="789" spans="46:118" x14ac:dyDescent="0.3">
      <c r="AT789" s="44" t="str">
        <f t="shared" si="127"/>
        <v>13_14T.LX.S</v>
      </c>
      <c r="AU789" s="18" t="s">
        <v>71</v>
      </c>
      <c r="AV789" s="18" t="s">
        <v>926</v>
      </c>
      <c r="AW789" s="20" t="s">
        <v>377</v>
      </c>
      <c r="AX789" s="228">
        <v>1220115</v>
      </c>
      <c r="AY789" s="229">
        <v>0</v>
      </c>
      <c r="BA789" s="91"/>
      <c r="CK789" s="160"/>
      <c r="CL789" s="18"/>
      <c r="CM789" s="18"/>
      <c r="CN789" s="18"/>
      <c r="CO789" s="18"/>
      <c r="CP789" s="219"/>
      <c r="DH789" s="232"/>
      <c r="DI789" s="234"/>
      <c r="DJ789" s="234"/>
      <c r="DK789" s="235"/>
      <c r="DL789" s="236"/>
      <c r="DM789" s="236"/>
      <c r="DN789" s="236"/>
    </row>
    <row r="790" spans="46:118" x14ac:dyDescent="0.3">
      <c r="AT790" s="44" t="str">
        <f t="shared" si="127"/>
        <v>13_15F.LX.S</v>
      </c>
      <c r="AU790" s="18" t="s">
        <v>71</v>
      </c>
      <c r="AV790" s="18" t="s">
        <v>630</v>
      </c>
      <c r="AW790" s="20" t="s">
        <v>377</v>
      </c>
      <c r="AX790" s="228">
        <v>1220115</v>
      </c>
      <c r="AY790" s="229">
        <v>0</v>
      </c>
      <c r="BA790" s="91"/>
      <c r="CK790" s="160"/>
      <c r="CL790" s="18"/>
      <c r="CM790" s="18"/>
      <c r="CN790" s="18"/>
      <c r="CO790" s="18"/>
      <c r="CP790" s="219"/>
      <c r="DH790" s="232"/>
      <c r="DI790" s="234"/>
      <c r="DJ790" s="234"/>
      <c r="DK790" s="235"/>
      <c r="DL790" s="236"/>
      <c r="DM790" s="236"/>
      <c r="DN790" s="236"/>
    </row>
    <row r="791" spans="46:118" x14ac:dyDescent="0.3">
      <c r="AT791" s="44" t="str">
        <f t="shared" si="127"/>
        <v>13_15T.LX.S</v>
      </c>
      <c r="AU791" s="18" t="s">
        <v>71</v>
      </c>
      <c r="AV791" s="18" t="s">
        <v>949</v>
      </c>
      <c r="AW791" s="20" t="s">
        <v>377</v>
      </c>
      <c r="AX791" s="228">
        <v>1220115</v>
      </c>
      <c r="AY791" s="229">
        <v>0</v>
      </c>
      <c r="BA791" s="91"/>
      <c r="CK791" s="160"/>
      <c r="CL791" s="18"/>
      <c r="CM791" s="18"/>
      <c r="CN791" s="18"/>
      <c r="CO791" s="18"/>
      <c r="CP791" s="219"/>
      <c r="DH791" s="232"/>
      <c r="DI791" s="234"/>
      <c r="DJ791" s="234"/>
      <c r="DK791" s="235"/>
      <c r="DL791" s="236"/>
      <c r="DM791" s="236"/>
      <c r="DN791" s="236"/>
    </row>
    <row r="792" spans="46:118" x14ac:dyDescent="0.3">
      <c r="AT792" s="44" t="str">
        <f t="shared" si="127"/>
        <v>13_16F.LX.S</v>
      </c>
      <c r="AU792" s="18" t="s">
        <v>71</v>
      </c>
      <c r="AV792" s="18" t="s">
        <v>665</v>
      </c>
      <c r="AW792" s="20" t="s">
        <v>377</v>
      </c>
      <c r="AX792" s="228">
        <v>1220115</v>
      </c>
      <c r="AY792" s="229">
        <v>0</v>
      </c>
      <c r="BA792" s="91"/>
      <c r="CK792" s="160"/>
      <c r="CL792" s="18"/>
      <c r="CM792" s="18"/>
      <c r="CN792" s="18"/>
      <c r="CO792" s="18"/>
      <c r="CP792" s="219"/>
      <c r="DH792" s="232"/>
      <c r="DI792" s="234"/>
      <c r="DJ792" s="234"/>
      <c r="DK792" s="235"/>
      <c r="DL792" s="236"/>
      <c r="DM792" s="236"/>
      <c r="DN792" s="236"/>
    </row>
    <row r="793" spans="46:118" x14ac:dyDescent="0.3">
      <c r="AT793" s="44" t="str">
        <f t="shared" si="127"/>
        <v>13_16T.LX.S</v>
      </c>
      <c r="AU793" s="18" t="s">
        <v>71</v>
      </c>
      <c r="AV793" s="18" t="s">
        <v>963</v>
      </c>
      <c r="AW793" s="20" t="s">
        <v>377</v>
      </c>
      <c r="AX793" s="228">
        <v>1220115</v>
      </c>
      <c r="AY793" s="229">
        <v>0</v>
      </c>
      <c r="BA793" s="91"/>
      <c r="CK793" s="160"/>
      <c r="CL793" s="18"/>
      <c r="CM793" s="18"/>
      <c r="CN793" s="18"/>
      <c r="CO793" s="18"/>
      <c r="CP793" s="219"/>
      <c r="DH793" s="232"/>
      <c r="DI793" s="234"/>
      <c r="DJ793" s="234"/>
      <c r="DK793" s="235"/>
      <c r="DL793" s="236"/>
      <c r="DM793" s="236"/>
      <c r="DN793" s="236"/>
    </row>
    <row r="794" spans="46:118" x14ac:dyDescent="0.3">
      <c r="AT794" s="44" t="str">
        <f t="shared" si="127"/>
        <v>14_14F.LX.S</v>
      </c>
      <c r="AU794" s="18" t="s">
        <v>71</v>
      </c>
      <c r="AV794" s="18" t="s">
        <v>616</v>
      </c>
      <c r="AW794" s="20" t="s">
        <v>377</v>
      </c>
      <c r="AX794" s="228">
        <v>1220115</v>
      </c>
      <c r="AY794" s="229">
        <v>0</v>
      </c>
      <c r="BA794" s="91"/>
      <c r="CK794" s="160"/>
      <c r="CL794" s="18"/>
      <c r="CM794" s="18"/>
      <c r="CN794" s="18"/>
      <c r="CO794" s="18"/>
      <c r="CP794" s="219"/>
      <c r="DH794" s="232"/>
      <c r="DI794" s="234"/>
      <c r="DJ794" s="234"/>
      <c r="DK794" s="235"/>
      <c r="DL794" s="236"/>
      <c r="DM794" s="236"/>
      <c r="DN794" s="236"/>
    </row>
    <row r="795" spans="46:118" x14ac:dyDescent="0.3">
      <c r="AT795" s="44" t="str">
        <f t="shared" si="127"/>
        <v>14_14T.LX.S</v>
      </c>
      <c r="AU795" s="18" t="s">
        <v>71</v>
      </c>
      <c r="AV795" s="18" t="s">
        <v>933</v>
      </c>
      <c r="AW795" s="20" t="s">
        <v>377</v>
      </c>
      <c r="AX795" s="228">
        <v>1220115</v>
      </c>
      <c r="AY795" s="229">
        <v>0</v>
      </c>
      <c r="BA795" s="91"/>
      <c r="CK795" s="160"/>
      <c r="CL795" s="18"/>
      <c r="CM795" s="18"/>
      <c r="CN795" s="18"/>
      <c r="CO795" s="18"/>
      <c r="CP795" s="219"/>
      <c r="DH795" s="232"/>
      <c r="DI795" s="234"/>
      <c r="DJ795" s="234"/>
      <c r="DK795" s="235"/>
      <c r="DL795" s="236"/>
      <c r="DM795" s="236"/>
      <c r="DN795" s="236"/>
    </row>
    <row r="796" spans="46:118" x14ac:dyDescent="0.3">
      <c r="AT796" s="44" t="str">
        <f t="shared" si="127"/>
        <v>14_15F.LX.S</v>
      </c>
      <c r="AU796" s="18" t="s">
        <v>71</v>
      </c>
      <c r="AV796" s="18" t="s">
        <v>647</v>
      </c>
      <c r="AW796" s="20" t="s">
        <v>377</v>
      </c>
      <c r="AX796" s="228">
        <v>1220115</v>
      </c>
      <c r="AY796" s="229">
        <v>0</v>
      </c>
      <c r="BA796" s="91"/>
      <c r="CK796" s="160"/>
      <c r="CL796" s="18"/>
      <c r="CM796" s="18"/>
      <c r="CN796" s="18"/>
      <c r="CO796" s="18"/>
      <c r="CP796" s="219"/>
      <c r="DH796" s="232"/>
      <c r="DI796" s="234"/>
      <c r="DJ796" s="234"/>
      <c r="DK796" s="235"/>
      <c r="DL796" s="236"/>
      <c r="DM796" s="236"/>
      <c r="DN796" s="236"/>
    </row>
    <row r="797" spans="46:118" x14ac:dyDescent="0.3">
      <c r="AT797" s="44" t="str">
        <f t="shared" si="127"/>
        <v>14_15T.LX.S</v>
      </c>
      <c r="AU797" s="18" t="s">
        <v>71</v>
      </c>
      <c r="AV797" s="18" t="s">
        <v>956</v>
      </c>
      <c r="AW797" s="20" t="s">
        <v>377</v>
      </c>
      <c r="AX797" s="228">
        <v>1220115</v>
      </c>
      <c r="AY797" s="229">
        <v>0</v>
      </c>
      <c r="BA797" s="91"/>
      <c r="CK797" s="160"/>
      <c r="CL797" s="18"/>
      <c r="CM797" s="18"/>
      <c r="CN797" s="18"/>
      <c r="CO797" s="18"/>
      <c r="CP797" s="219"/>
      <c r="DH797" s="232"/>
      <c r="DI797" s="234"/>
      <c r="DJ797" s="234"/>
      <c r="DK797" s="235"/>
      <c r="DL797" s="236"/>
      <c r="DM797" s="236"/>
      <c r="DN797" s="236"/>
    </row>
    <row r="798" spans="46:118" x14ac:dyDescent="0.3">
      <c r="AT798" s="44" t="str">
        <f t="shared" si="127"/>
        <v>14_16F.LX.S</v>
      </c>
      <c r="AU798" s="18" t="s">
        <v>71</v>
      </c>
      <c r="AV798" s="18" t="s">
        <v>681</v>
      </c>
      <c r="AW798" s="20" t="s">
        <v>377</v>
      </c>
      <c r="AX798" s="228">
        <v>1220115</v>
      </c>
      <c r="AY798" s="229">
        <v>0</v>
      </c>
      <c r="BA798" s="91"/>
      <c r="CK798" s="160"/>
      <c r="CL798" s="18"/>
      <c r="CM798" s="18"/>
      <c r="CN798" s="18"/>
      <c r="CO798" s="18"/>
      <c r="CP798" s="219"/>
      <c r="DH798" s="232"/>
      <c r="DI798" s="234"/>
      <c r="DJ798" s="234"/>
      <c r="DK798" s="235"/>
      <c r="DL798" s="236"/>
      <c r="DM798" s="236"/>
      <c r="DN798" s="236"/>
    </row>
    <row r="799" spans="46:118" x14ac:dyDescent="0.3">
      <c r="AT799" s="44" t="str">
        <f t="shared" si="127"/>
        <v>14_16T.LX.S</v>
      </c>
      <c r="AU799" s="18" t="s">
        <v>71</v>
      </c>
      <c r="AV799" s="18" t="s">
        <v>970</v>
      </c>
      <c r="AW799" s="20" t="s">
        <v>377</v>
      </c>
      <c r="AX799" s="228">
        <v>1220115</v>
      </c>
      <c r="AY799" s="229">
        <v>0</v>
      </c>
      <c r="BA799" s="91"/>
      <c r="CK799" s="160"/>
      <c r="CL799" s="18"/>
      <c r="CM799" s="18"/>
      <c r="CN799" s="18"/>
      <c r="CO799" s="18"/>
      <c r="CP799" s="219"/>
      <c r="DH799" s="232"/>
      <c r="DI799" s="234"/>
      <c r="DJ799" s="234"/>
      <c r="DK799" s="235"/>
      <c r="DL799" s="236"/>
      <c r="DM799" s="236"/>
      <c r="DN799" s="236"/>
    </row>
    <row r="800" spans="46:118" x14ac:dyDescent="0.3">
      <c r="AT800" s="44" t="str">
        <f t="shared" si="127"/>
        <v>14_18B.LX.S</v>
      </c>
      <c r="AU800" s="18" t="s">
        <v>71</v>
      </c>
      <c r="AV800" s="18" t="s">
        <v>160</v>
      </c>
      <c r="AW800" s="20" t="s">
        <v>377</v>
      </c>
      <c r="AX800" s="228">
        <v>1220115</v>
      </c>
      <c r="AY800" s="229">
        <v>0</v>
      </c>
      <c r="BA800" s="91"/>
      <c r="CK800" s="160"/>
      <c r="CL800" s="18"/>
      <c r="CM800" s="18"/>
      <c r="CN800" s="18"/>
      <c r="CO800" s="18"/>
      <c r="CP800" s="219"/>
      <c r="DH800" s="232"/>
      <c r="DI800" s="234"/>
      <c r="DJ800" s="234"/>
      <c r="DK800" s="235"/>
      <c r="DL800" s="236"/>
      <c r="DM800" s="236"/>
      <c r="DN800" s="236"/>
    </row>
    <row r="801" spans="46:118" x14ac:dyDescent="0.3">
      <c r="AT801" s="44" t="str">
        <f t="shared" si="127"/>
        <v>14_20B.LX.S</v>
      </c>
      <c r="AU801" s="18" t="s">
        <v>71</v>
      </c>
      <c r="AV801" s="18" t="s">
        <v>253</v>
      </c>
      <c r="AW801" s="20" t="s">
        <v>377</v>
      </c>
      <c r="AX801" s="228">
        <v>1220115</v>
      </c>
      <c r="AY801" s="229">
        <v>0</v>
      </c>
      <c r="BA801" s="91"/>
      <c r="CK801" s="160"/>
      <c r="CL801" s="18"/>
      <c r="CM801" s="18"/>
      <c r="CN801" s="18"/>
      <c r="CO801" s="18"/>
      <c r="CP801" s="219"/>
      <c r="DH801" s="232"/>
      <c r="DI801" s="234"/>
      <c r="DJ801" s="234"/>
      <c r="DK801" s="235"/>
      <c r="DL801" s="236"/>
      <c r="DM801" s="236"/>
      <c r="DN801" s="236"/>
    </row>
    <row r="802" spans="46:118" x14ac:dyDescent="0.3">
      <c r="AT802" s="44" t="str">
        <f t="shared" si="127"/>
        <v>14_22B.LX.S</v>
      </c>
      <c r="AU802" s="18" t="s">
        <v>71</v>
      </c>
      <c r="AV802" s="18" t="s">
        <v>346</v>
      </c>
      <c r="AW802" s="20" t="s">
        <v>377</v>
      </c>
      <c r="AX802" s="228">
        <v>1220115</v>
      </c>
      <c r="AY802" s="229">
        <v>0</v>
      </c>
      <c r="BA802" s="91"/>
      <c r="CK802" s="160"/>
      <c r="CL802" s="18"/>
      <c r="CM802" s="18"/>
      <c r="CN802" s="18"/>
      <c r="CO802" s="18"/>
      <c r="CP802" s="219"/>
      <c r="DH802" s="232"/>
      <c r="DI802" s="234"/>
      <c r="DJ802" s="234"/>
      <c r="DK802" s="235"/>
      <c r="DL802" s="236"/>
      <c r="DM802" s="236"/>
      <c r="DN802" s="236"/>
    </row>
    <row r="803" spans="46:118" x14ac:dyDescent="0.3">
      <c r="AT803" s="44" t="str">
        <f t="shared" si="127"/>
        <v>14_24B.LX.S</v>
      </c>
      <c r="AU803" s="18" t="s">
        <v>71</v>
      </c>
      <c r="AV803" s="18" t="s">
        <v>428</v>
      </c>
      <c r="AW803" s="20" t="s">
        <v>377</v>
      </c>
      <c r="AX803" s="228">
        <v>1220115</v>
      </c>
      <c r="AY803" s="229">
        <v>0</v>
      </c>
      <c r="BA803" s="91"/>
      <c r="CK803" s="160"/>
      <c r="CL803" s="18"/>
      <c r="CM803" s="18"/>
      <c r="CN803" s="18"/>
      <c r="CO803" s="18"/>
      <c r="CP803" s="219"/>
      <c r="DH803" s="232"/>
      <c r="DI803" s="234"/>
      <c r="DJ803" s="234"/>
      <c r="DK803" s="235"/>
      <c r="DL803" s="236"/>
      <c r="DM803" s="236"/>
      <c r="DN803" s="236"/>
    </row>
    <row r="804" spans="46:118" x14ac:dyDescent="0.3">
      <c r="AT804" s="44" t="str">
        <f t="shared" si="127"/>
        <v>14_26B.LX.S</v>
      </c>
      <c r="AU804" s="18" t="s">
        <v>71</v>
      </c>
      <c r="AV804" s="18" t="s">
        <v>512</v>
      </c>
      <c r="AW804" s="20" t="s">
        <v>377</v>
      </c>
      <c r="AX804" s="228">
        <v>1220115</v>
      </c>
      <c r="AY804" s="229">
        <v>0</v>
      </c>
      <c r="BA804" s="91"/>
      <c r="CK804" s="160"/>
      <c r="CL804" s="18"/>
      <c r="CM804" s="18"/>
      <c r="CN804" s="18"/>
      <c r="CO804" s="18"/>
      <c r="CP804" s="219"/>
      <c r="DH804" s="232"/>
      <c r="DI804" s="234"/>
      <c r="DJ804" s="234"/>
      <c r="DK804" s="235"/>
      <c r="DL804" s="236"/>
      <c r="DM804" s="236"/>
      <c r="DN804" s="236"/>
    </row>
    <row r="805" spans="46:118" x14ac:dyDescent="0.3">
      <c r="AT805" s="44" t="str">
        <f t="shared" si="127"/>
        <v>15_16F.LX.S</v>
      </c>
      <c r="AU805" s="18" t="s">
        <v>71</v>
      </c>
      <c r="AV805" s="18" t="s">
        <v>698</v>
      </c>
      <c r="AW805" s="20" t="s">
        <v>377</v>
      </c>
      <c r="AX805" s="228">
        <v>1220115</v>
      </c>
      <c r="AY805" s="229">
        <v>0</v>
      </c>
      <c r="BA805" s="91"/>
      <c r="CK805" s="160"/>
      <c r="CL805" s="18"/>
      <c r="CM805" s="18"/>
      <c r="CN805" s="18"/>
      <c r="CO805" s="18"/>
      <c r="CP805" s="219"/>
      <c r="DH805" s="232"/>
      <c r="DI805" s="234"/>
      <c r="DJ805" s="234"/>
      <c r="DK805" s="235"/>
      <c r="DL805" s="236"/>
      <c r="DM805" s="236"/>
      <c r="DN805" s="236"/>
    </row>
    <row r="806" spans="46:118" x14ac:dyDescent="0.3">
      <c r="AT806" s="44" t="str">
        <f t="shared" si="127"/>
        <v>15_16T.LX.S</v>
      </c>
      <c r="AU806" s="18" t="s">
        <v>71</v>
      </c>
      <c r="AV806" s="18" t="s">
        <v>977</v>
      </c>
      <c r="AW806" s="20" t="s">
        <v>377</v>
      </c>
      <c r="AX806" s="228">
        <v>1220115</v>
      </c>
      <c r="AY806" s="229">
        <v>0</v>
      </c>
      <c r="BA806" s="91"/>
      <c r="CK806" s="160"/>
      <c r="CL806" s="18"/>
      <c r="CM806" s="18"/>
      <c r="CN806" s="18"/>
      <c r="CO806" s="18"/>
      <c r="CP806" s="219"/>
      <c r="DH806" s="232"/>
      <c r="DI806" s="234"/>
      <c r="DJ806" s="234"/>
      <c r="DK806" s="235"/>
      <c r="DL806" s="236"/>
      <c r="DM806" s="236"/>
      <c r="DN806" s="236"/>
    </row>
    <row r="807" spans="46:118" x14ac:dyDescent="0.3">
      <c r="AT807" s="44" t="str">
        <f t="shared" si="127"/>
        <v>16_16F.LX.S</v>
      </c>
      <c r="AU807" s="18" t="s">
        <v>71</v>
      </c>
      <c r="AV807" s="18" t="s">
        <v>714</v>
      </c>
      <c r="AW807" s="20" t="s">
        <v>377</v>
      </c>
      <c r="AX807" s="228">
        <v>1220115</v>
      </c>
      <c r="AY807" s="229">
        <v>0</v>
      </c>
      <c r="BA807" s="91"/>
      <c r="CK807" s="160"/>
      <c r="CL807" s="18"/>
      <c r="CM807" s="18"/>
      <c r="CN807" s="18"/>
      <c r="CO807" s="18"/>
      <c r="CP807" s="219"/>
      <c r="DH807" s="232"/>
      <c r="DI807" s="234"/>
      <c r="DJ807" s="234"/>
      <c r="DK807" s="235"/>
      <c r="DL807" s="236"/>
      <c r="DM807" s="236"/>
      <c r="DN807" s="236"/>
    </row>
    <row r="808" spans="46:118" x14ac:dyDescent="0.3">
      <c r="AT808" s="44" t="str">
        <f t="shared" si="127"/>
        <v>16_16T.LX.S</v>
      </c>
      <c r="AU808" s="18" t="s">
        <v>71</v>
      </c>
      <c r="AV808" s="18" t="s">
        <v>985</v>
      </c>
      <c r="AW808" s="20" t="s">
        <v>377</v>
      </c>
      <c r="AX808" s="228">
        <v>1220115</v>
      </c>
      <c r="AY808" s="229">
        <v>0</v>
      </c>
      <c r="BA808" s="91"/>
      <c r="CK808" s="160"/>
      <c r="CL808" s="18"/>
      <c r="CM808" s="18"/>
      <c r="CN808" s="18"/>
      <c r="CO808" s="18"/>
      <c r="CP808" s="219"/>
      <c r="DH808" s="232"/>
      <c r="DI808" s="234"/>
      <c r="DJ808" s="234"/>
      <c r="DK808" s="235"/>
      <c r="DL808" s="236"/>
      <c r="DM808" s="236"/>
      <c r="DN808" s="236"/>
    </row>
    <row r="809" spans="46:118" x14ac:dyDescent="0.3">
      <c r="AT809" s="44" t="str">
        <f t="shared" si="127"/>
        <v>16_18B.LX.S</v>
      </c>
      <c r="AU809" s="18" t="s">
        <v>71</v>
      </c>
      <c r="AV809" s="18" t="s">
        <v>186</v>
      </c>
      <c r="AW809" s="20" t="s">
        <v>377</v>
      </c>
      <c r="AX809" s="228">
        <v>1220115</v>
      </c>
      <c r="AY809" s="229">
        <v>0</v>
      </c>
      <c r="BA809" s="91"/>
      <c r="CK809" s="160"/>
      <c r="CL809" s="18"/>
      <c r="CM809" s="18"/>
      <c r="CN809" s="18"/>
      <c r="CO809" s="18"/>
      <c r="CP809" s="219"/>
      <c r="DH809" s="232"/>
      <c r="DI809" s="234"/>
      <c r="DJ809" s="234"/>
      <c r="DK809" s="235"/>
      <c r="DL809" s="236"/>
      <c r="DM809" s="236"/>
      <c r="DN809" s="236"/>
    </row>
    <row r="810" spans="46:118" x14ac:dyDescent="0.3">
      <c r="AT810" s="44" t="str">
        <f t="shared" si="127"/>
        <v>16_18F.LX.S</v>
      </c>
      <c r="AU810" s="18" t="s">
        <v>71</v>
      </c>
      <c r="AV810" s="18" t="s">
        <v>726</v>
      </c>
      <c r="AW810" s="20" t="s">
        <v>377</v>
      </c>
      <c r="AX810" s="228">
        <v>1220115</v>
      </c>
      <c r="AY810" s="229">
        <v>0</v>
      </c>
      <c r="BA810" s="91"/>
      <c r="CK810" s="160"/>
      <c r="CL810" s="18"/>
      <c r="CM810" s="18"/>
      <c r="CN810" s="18"/>
      <c r="CO810" s="18"/>
      <c r="CP810" s="219"/>
      <c r="DH810" s="232"/>
      <c r="DI810" s="234"/>
      <c r="DJ810" s="234"/>
      <c r="DK810" s="235"/>
      <c r="DL810" s="236"/>
      <c r="DM810" s="236"/>
      <c r="DN810" s="236"/>
    </row>
    <row r="811" spans="46:118" x14ac:dyDescent="0.3">
      <c r="AT811" s="44" t="str">
        <f t="shared" si="127"/>
        <v>16_20B.LX.S</v>
      </c>
      <c r="AU811" s="18" t="s">
        <v>71</v>
      </c>
      <c r="AV811" s="18" t="s">
        <v>293</v>
      </c>
      <c r="AW811" s="20" t="s">
        <v>377</v>
      </c>
      <c r="AX811" s="228">
        <v>1220115</v>
      </c>
      <c r="AY811" s="229">
        <v>0</v>
      </c>
      <c r="BA811" s="91"/>
      <c r="CK811" s="160"/>
      <c r="CL811" s="18"/>
      <c r="CM811" s="18"/>
      <c r="CN811" s="18"/>
      <c r="CO811" s="18"/>
      <c r="CP811" s="219"/>
      <c r="DH811" s="232"/>
      <c r="DI811" s="234"/>
      <c r="DJ811" s="234"/>
      <c r="DK811" s="235"/>
      <c r="DL811" s="236"/>
      <c r="DM811" s="236"/>
      <c r="DN811" s="236"/>
    </row>
    <row r="812" spans="46:118" x14ac:dyDescent="0.3">
      <c r="AT812" s="44" t="str">
        <f t="shared" si="127"/>
        <v>16_22B.LX.S</v>
      </c>
      <c r="AU812" s="18" t="s">
        <v>71</v>
      </c>
      <c r="AV812" s="18" t="s">
        <v>365</v>
      </c>
      <c r="AW812" s="20" t="s">
        <v>377</v>
      </c>
      <c r="AX812" s="228">
        <v>1220115</v>
      </c>
      <c r="AY812" s="229">
        <v>0</v>
      </c>
      <c r="BA812" s="91"/>
      <c r="CK812" s="160"/>
      <c r="CL812" s="18"/>
      <c r="CM812" s="18"/>
      <c r="CN812" s="18"/>
      <c r="CO812" s="18"/>
      <c r="CP812" s="219"/>
      <c r="DH812" s="232"/>
      <c r="DI812" s="234"/>
      <c r="DJ812" s="234"/>
      <c r="DK812" s="235"/>
      <c r="DL812" s="236"/>
      <c r="DM812" s="236"/>
      <c r="DN812" s="236"/>
    </row>
    <row r="813" spans="46:118" x14ac:dyDescent="0.3">
      <c r="AT813" s="44" t="str">
        <f t="shared" si="127"/>
        <v>16_24B.LX.S</v>
      </c>
      <c r="AU813" s="18" t="s">
        <v>71</v>
      </c>
      <c r="AV813" s="18" t="s">
        <v>444</v>
      </c>
      <c r="AW813" s="20" t="s">
        <v>377</v>
      </c>
      <c r="AX813" s="228">
        <v>1220115</v>
      </c>
      <c r="AY813" s="229">
        <v>0</v>
      </c>
      <c r="BA813" s="91"/>
      <c r="CK813" s="160"/>
      <c r="CL813" s="18"/>
      <c r="CM813" s="18"/>
      <c r="CN813" s="18"/>
      <c r="CO813" s="18"/>
      <c r="CP813" s="219"/>
      <c r="DH813" s="232"/>
      <c r="DI813" s="234"/>
      <c r="DJ813" s="234"/>
      <c r="DK813" s="235"/>
      <c r="DL813" s="236"/>
      <c r="DM813" s="236"/>
      <c r="DN813" s="236"/>
    </row>
    <row r="814" spans="46:118" x14ac:dyDescent="0.3">
      <c r="AT814" s="44" t="str">
        <f t="shared" si="127"/>
        <v>16_26B.LX.S</v>
      </c>
      <c r="AU814" s="18" t="s">
        <v>71</v>
      </c>
      <c r="AV814" s="18" t="s">
        <v>532</v>
      </c>
      <c r="AW814" s="20" t="s">
        <v>377</v>
      </c>
      <c r="AX814" s="228">
        <v>1220115</v>
      </c>
      <c r="AY814" s="229">
        <v>0</v>
      </c>
      <c r="BA814" s="91"/>
      <c r="CK814" s="160"/>
      <c r="CL814" s="18"/>
      <c r="CM814" s="18"/>
      <c r="CN814" s="18"/>
      <c r="CO814" s="18"/>
      <c r="CP814" s="219"/>
      <c r="DH814" s="232"/>
      <c r="DI814" s="234"/>
      <c r="DJ814" s="234"/>
      <c r="DK814" s="235"/>
      <c r="DL814" s="236"/>
      <c r="DM814" s="236"/>
      <c r="DN814" s="236"/>
    </row>
    <row r="815" spans="46:118" x14ac:dyDescent="0.3">
      <c r="AT815" s="44" t="str">
        <f t="shared" si="127"/>
        <v>18_20B.LX.S</v>
      </c>
      <c r="AU815" s="18" t="s">
        <v>71</v>
      </c>
      <c r="AV815" s="18" t="s">
        <v>312</v>
      </c>
      <c r="AW815" s="20" t="s">
        <v>377</v>
      </c>
      <c r="AX815" s="228">
        <v>1220115</v>
      </c>
      <c r="AY815" s="229">
        <v>0</v>
      </c>
      <c r="BA815" s="91"/>
      <c r="CK815" s="160"/>
      <c r="CL815" s="18"/>
      <c r="CM815" s="18"/>
      <c r="CN815" s="18"/>
      <c r="CO815" s="18"/>
      <c r="CP815" s="219"/>
      <c r="DH815" s="232"/>
      <c r="DI815" s="234"/>
      <c r="DJ815" s="234"/>
      <c r="DK815" s="235"/>
      <c r="DL815" s="236"/>
      <c r="DM815" s="236"/>
      <c r="DN815" s="236"/>
    </row>
    <row r="816" spans="46:118" x14ac:dyDescent="0.3">
      <c r="AT816" s="44" t="str">
        <f t="shared" si="127"/>
        <v>18_22B.LX.S</v>
      </c>
      <c r="AU816" s="18" t="s">
        <v>71</v>
      </c>
      <c r="AV816" s="18" t="s">
        <v>382</v>
      </c>
      <c r="AW816" s="20" t="s">
        <v>377</v>
      </c>
      <c r="AX816" s="228">
        <v>1220115</v>
      </c>
      <c r="AY816" s="229">
        <v>0</v>
      </c>
      <c r="BA816" s="91"/>
      <c r="CK816" s="160"/>
      <c r="CL816" s="18"/>
      <c r="CM816" s="18"/>
      <c r="CN816" s="18"/>
      <c r="CO816" s="18"/>
      <c r="CP816" s="219"/>
      <c r="DH816" s="232"/>
      <c r="DI816" s="234"/>
      <c r="DJ816" s="234"/>
      <c r="DK816" s="235"/>
      <c r="DL816" s="236"/>
      <c r="DM816" s="236"/>
      <c r="DN816" s="236"/>
    </row>
    <row r="817" spans="46:118" x14ac:dyDescent="0.3">
      <c r="AT817" s="44" t="str">
        <f t="shared" si="127"/>
        <v>18_24B.LX.S</v>
      </c>
      <c r="AU817" s="18" t="s">
        <v>71</v>
      </c>
      <c r="AV817" s="18" t="s">
        <v>461</v>
      </c>
      <c r="AW817" s="20" t="s">
        <v>377</v>
      </c>
      <c r="AX817" s="228">
        <v>1220115</v>
      </c>
      <c r="AY817" s="229">
        <v>0</v>
      </c>
      <c r="BA817" s="91"/>
      <c r="CK817" s="160"/>
      <c r="CL817" s="18"/>
      <c r="CM817" s="18"/>
      <c r="CN817" s="18"/>
      <c r="CO817" s="18"/>
      <c r="CP817" s="219"/>
      <c r="DH817" s="232"/>
      <c r="DI817" s="234"/>
      <c r="DJ817" s="234"/>
      <c r="DK817" s="235"/>
      <c r="DL817" s="236"/>
      <c r="DM817" s="236"/>
      <c r="DN817" s="236"/>
    </row>
    <row r="818" spans="46:118" x14ac:dyDescent="0.3">
      <c r="AT818" s="44" t="str">
        <f t="shared" si="127"/>
        <v>20_20B.LX.S</v>
      </c>
      <c r="AU818" s="18" t="s">
        <v>71</v>
      </c>
      <c r="AV818" s="18" t="s">
        <v>331</v>
      </c>
      <c r="AW818" s="20" t="s">
        <v>377</v>
      </c>
      <c r="AX818" s="228">
        <v>1220115</v>
      </c>
      <c r="AY818" s="229">
        <v>0</v>
      </c>
      <c r="BA818" s="91"/>
      <c r="CK818" s="160"/>
      <c r="CL818" s="18"/>
      <c r="CM818" s="18"/>
      <c r="CN818" s="18"/>
      <c r="CO818" s="18"/>
      <c r="CP818" s="219"/>
      <c r="DH818" s="232"/>
      <c r="DI818" s="234"/>
      <c r="DJ818" s="234"/>
      <c r="DK818" s="235"/>
      <c r="DL818" s="236"/>
      <c r="DM818" s="236"/>
      <c r="DN818" s="236"/>
    </row>
    <row r="819" spans="46:118" x14ac:dyDescent="0.3">
      <c r="AT819" s="44" t="str">
        <f t="shared" si="127"/>
        <v>20_22B.LX.S</v>
      </c>
      <c r="AU819" s="18" t="s">
        <v>71</v>
      </c>
      <c r="AV819" s="18" t="s">
        <v>400</v>
      </c>
      <c r="AW819" s="20" t="s">
        <v>377</v>
      </c>
      <c r="AX819" s="228">
        <v>1220115</v>
      </c>
      <c r="AY819" s="229">
        <v>0</v>
      </c>
      <c r="BA819" s="91"/>
      <c r="CK819" s="160"/>
      <c r="CL819" s="18"/>
      <c r="CM819" s="18"/>
      <c r="CN819" s="18"/>
      <c r="CO819" s="18"/>
      <c r="CP819" s="219"/>
      <c r="DH819" s="232"/>
      <c r="DI819" s="234"/>
      <c r="DJ819" s="234"/>
      <c r="DK819" s="235"/>
      <c r="DL819" s="236"/>
      <c r="DM819" s="236"/>
      <c r="DN819" s="236"/>
    </row>
    <row r="820" spans="46:118" x14ac:dyDescent="0.3">
      <c r="AT820" s="44" t="str">
        <f t="shared" si="127"/>
        <v>20_24B.LX.S</v>
      </c>
      <c r="AU820" s="18" t="s">
        <v>71</v>
      </c>
      <c r="AV820" s="18" t="s">
        <v>479</v>
      </c>
      <c r="AW820" s="20" t="s">
        <v>377</v>
      </c>
      <c r="AX820" s="228">
        <v>1220115</v>
      </c>
      <c r="AY820" s="229">
        <v>0</v>
      </c>
      <c r="BA820" s="91"/>
      <c r="CK820" s="160"/>
      <c r="CL820" s="18"/>
      <c r="CM820" s="18"/>
      <c r="CN820" s="18"/>
      <c r="CO820" s="18"/>
      <c r="CP820" s="219"/>
      <c r="DH820" s="232"/>
      <c r="DI820" s="234"/>
      <c r="DJ820" s="234"/>
      <c r="DK820" s="235"/>
      <c r="DL820" s="236"/>
      <c r="DM820" s="236"/>
      <c r="DN820" s="236"/>
    </row>
    <row r="821" spans="46:118" x14ac:dyDescent="0.3">
      <c r="AT821" s="44" t="str">
        <f t="shared" si="127"/>
        <v>4_14S.LX.S</v>
      </c>
      <c r="AU821" s="18" t="s">
        <v>71</v>
      </c>
      <c r="AV821" s="18" t="s">
        <v>1017</v>
      </c>
      <c r="AW821" s="20" t="s">
        <v>377</v>
      </c>
      <c r="AX821" s="228">
        <v>1220115</v>
      </c>
      <c r="AY821" s="229">
        <v>0</v>
      </c>
      <c r="BA821" s="91"/>
      <c r="CK821" s="160"/>
      <c r="CL821" s="18"/>
      <c r="CM821" s="18"/>
      <c r="CN821" s="18"/>
      <c r="CO821" s="18"/>
      <c r="CP821" s="219"/>
      <c r="DH821" s="232"/>
      <c r="DI821" s="234"/>
      <c r="DJ821" s="234"/>
      <c r="DK821" s="235"/>
      <c r="DL821" s="236"/>
      <c r="DM821" s="236"/>
      <c r="DN821" s="236"/>
    </row>
    <row r="822" spans="46:118" x14ac:dyDescent="0.3">
      <c r="AT822" s="44" t="str">
        <f t="shared" si="127"/>
        <v>4_14x8S.LX.S</v>
      </c>
      <c r="AU822" s="18" t="s">
        <v>71</v>
      </c>
      <c r="AV822" s="18" t="s">
        <v>1049</v>
      </c>
      <c r="AW822" s="20" t="s">
        <v>377</v>
      </c>
      <c r="AX822" s="228">
        <v>1220115</v>
      </c>
      <c r="AY822" s="229">
        <v>0</v>
      </c>
      <c r="BA822" s="91"/>
      <c r="CK822" s="160"/>
      <c r="CL822" s="18"/>
      <c r="CM822" s="18"/>
      <c r="CN822" s="18"/>
      <c r="CO822" s="18"/>
      <c r="CP822" s="219"/>
      <c r="DH822" s="232"/>
      <c r="DI822" s="234"/>
      <c r="DJ822" s="234"/>
      <c r="DK822" s="235"/>
      <c r="DL822" s="236"/>
      <c r="DM822" s="236"/>
      <c r="DN822" s="236"/>
    </row>
    <row r="823" spans="46:118" x14ac:dyDescent="0.3">
      <c r="AT823" s="44" t="str">
        <f t="shared" si="127"/>
        <v>5_14S.LX.S</v>
      </c>
      <c r="AU823" s="18" t="s">
        <v>71</v>
      </c>
      <c r="AV823" s="18" t="s">
        <v>1026</v>
      </c>
      <c r="AW823" s="20" t="s">
        <v>377</v>
      </c>
      <c r="AX823" s="228">
        <v>1220115</v>
      </c>
      <c r="AY823" s="229">
        <v>0</v>
      </c>
      <c r="BA823" s="91"/>
      <c r="CK823" s="160"/>
      <c r="CL823" s="18"/>
      <c r="CM823" s="18"/>
      <c r="CN823" s="18"/>
      <c r="CO823" s="18"/>
      <c r="CP823" s="219"/>
      <c r="DH823" s="232"/>
      <c r="DI823" s="234"/>
      <c r="DJ823" s="234"/>
      <c r="DK823" s="235"/>
      <c r="DL823" s="236"/>
      <c r="DM823" s="236"/>
      <c r="DN823" s="236"/>
    </row>
    <row r="824" spans="46:118" x14ac:dyDescent="0.3">
      <c r="AT824" s="44" t="str">
        <f t="shared" si="127"/>
        <v>5_14x8S.LX.S</v>
      </c>
      <c r="AU824" s="18" t="s">
        <v>71</v>
      </c>
      <c r="AV824" s="18" t="s">
        <v>1059</v>
      </c>
      <c r="AW824" s="20" t="s">
        <v>377</v>
      </c>
      <c r="AX824" s="228">
        <v>1220115</v>
      </c>
      <c r="AY824" s="229">
        <v>0</v>
      </c>
      <c r="BA824" s="91"/>
      <c r="CK824" s="160"/>
      <c r="CL824" s="18"/>
      <c r="CM824" s="18"/>
      <c r="CN824" s="18"/>
      <c r="CO824" s="18"/>
      <c r="CP824" s="219"/>
      <c r="DH824" s="232"/>
      <c r="DI824" s="234"/>
      <c r="DJ824" s="234"/>
      <c r="DK824" s="235"/>
      <c r="DL824" s="236"/>
      <c r="DM824" s="236"/>
      <c r="DN824" s="236"/>
    </row>
    <row r="825" spans="46:118" x14ac:dyDescent="0.3">
      <c r="AT825" s="44" t="str">
        <f t="shared" si="127"/>
        <v>5H_14x8S.LX.S</v>
      </c>
      <c r="AU825" s="18" t="s">
        <v>71</v>
      </c>
      <c r="AV825" s="18" t="s">
        <v>1067</v>
      </c>
      <c r="AW825" s="20" t="s">
        <v>377</v>
      </c>
      <c r="AX825" s="228">
        <v>1220115</v>
      </c>
      <c r="AY825" s="229">
        <v>0</v>
      </c>
      <c r="BA825" s="91"/>
      <c r="CK825" s="160"/>
      <c r="CL825" s="18"/>
      <c r="CM825" s="18"/>
      <c r="CN825" s="18"/>
      <c r="CO825" s="18"/>
      <c r="CP825" s="219"/>
      <c r="DH825" s="232"/>
      <c r="DI825" s="234"/>
      <c r="DJ825" s="234"/>
      <c r="DK825" s="235"/>
      <c r="DL825" s="236"/>
      <c r="DM825" s="236"/>
      <c r="DN825" s="236"/>
    </row>
    <row r="826" spans="46:118" x14ac:dyDescent="0.3">
      <c r="AT826" s="44" t="str">
        <f t="shared" si="127"/>
        <v>6_12S.LX.S</v>
      </c>
      <c r="AU826" s="18" t="s">
        <v>71</v>
      </c>
      <c r="AV826" s="18" t="s">
        <v>995</v>
      </c>
      <c r="AW826" s="20" t="s">
        <v>377</v>
      </c>
      <c r="AX826" s="228">
        <v>1220115</v>
      </c>
      <c r="AY826" s="229">
        <v>0</v>
      </c>
      <c r="BA826" s="91"/>
      <c r="CK826" s="160"/>
      <c r="CL826" s="18"/>
      <c r="CM826" s="18"/>
      <c r="CN826" s="18"/>
      <c r="CO826" s="18"/>
      <c r="CP826" s="219"/>
      <c r="DH826" s="232"/>
      <c r="DI826" s="234"/>
      <c r="DJ826" s="234"/>
      <c r="DK826" s="235"/>
      <c r="DL826" s="236"/>
      <c r="DM826" s="236"/>
      <c r="DN826" s="236"/>
    </row>
    <row r="827" spans="46:118" x14ac:dyDescent="0.3">
      <c r="AT827" s="44" t="str">
        <f t="shared" si="127"/>
        <v>6_13S.LX.S</v>
      </c>
      <c r="AU827" s="18" t="s">
        <v>71</v>
      </c>
      <c r="AV827" s="18" t="s">
        <v>1012</v>
      </c>
      <c r="AW827" s="20" t="s">
        <v>377</v>
      </c>
      <c r="AX827" s="228">
        <v>1220115</v>
      </c>
      <c r="AY827" s="229">
        <v>0</v>
      </c>
      <c r="BA827" s="91"/>
      <c r="CK827" s="160"/>
      <c r="CL827" s="18"/>
      <c r="CM827" s="18"/>
      <c r="CN827" s="18"/>
      <c r="CO827" s="18"/>
      <c r="CP827" s="219"/>
      <c r="DH827" s="232"/>
      <c r="DI827" s="234"/>
      <c r="DJ827" s="234"/>
      <c r="DK827" s="235"/>
      <c r="DL827" s="236"/>
      <c r="DM827" s="236"/>
      <c r="DN827" s="236"/>
    </row>
    <row r="828" spans="46:118" x14ac:dyDescent="0.3">
      <c r="AT828" s="44" t="str">
        <f t="shared" si="127"/>
        <v>6H_14S.LX.S</v>
      </c>
      <c r="AU828" s="18" t="s">
        <v>71</v>
      </c>
      <c r="AV828" s="18" t="s">
        <v>1039</v>
      </c>
      <c r="AW828" s="20" t="s">
        <v>377</v>
      </c>
      <c r="AX828" s="228">
        <v>1220115</v>
      </c>
      <c r="AY828" s="229">
        <v>0</v>
      </c>
      <c r="BA828" s="91"/>
      <c r="CK828" s="160"/>
      <c r="CL828" s="18"/>
      <c r="CM828" s="18"/>
      <c r="CN828" s="18"/>
      <c r="CO828" s="18"/>
      <c r="CP828" s="219"/>
      <c r="DH828" s="232"/>
      <c r="DI828" s="234"/>
      <c r="DJ828" s="234"/>
      <c r="DK828" s="235"/>
      <c r="DL828" s="236"/>
      <c r="DM828" s="236"/>
      <c r="DN828" s="236"/>
    </row>
    <row r="829" spans="46:118" x14ac:dyDescent="0.3">
      <c r="AT829" s="44" t="str">
        <f t="shared" si="127"/>
        <v>6H_14x8S.LX.S</v>
      </c>
      <c r="AU829" s="18" t="s">
        <v>71</v>
      </c>
      <c r="AV829" s="18" t="s">
        <v>1075</v>
      </c>
      <c r="AW829" s="20" t="s">
        <v>377</v>
      </c>
      <c r="AX829" s="228">
        <v>1220115</v>
      </c>
      <c r="AY829" s="229">
        <v>0</v>
      </c>
      <c r="BA829" s="91"/>
      <c r="CK829" s="160"/>
      <c r="CL829" s="18"/>
      <c r="CM829" s="18"/>
      <c r="CN829" s="18"/>
      <c r="CO829" s="18"/>
      <c r="CP829" s="219"/>
      <c r="DH829" s="232"/>
      <c r="DI829" s="234"/>
      <c r="DJ829" s="234"/>
      <c r="DK829" s="235"/>
      <c r="DL829" s="236"/>
      <c r="DM829" s="236"/>
      <c r="DN829" s="236"/>
    </row>
    <row r="830" spans="46:118" x14ac:dyDescent="0.3">
      <c r="AT830" s="44" t="str">
        <f t="shared" si="127"/>
        <v>7_10T.LX.S</v>
      </c>
      <c r="AU830" s="18" t="s">
        <v>71</v>
      </c>
      <c r="AV830" s="18" t="s">
        <v>763</v>
      </c>
      <c r="AW830" s="20" t="s">
        <v>377</v>
      </c>
      <c r="AX830" s="228">
        <v>1220115</v>
      </c>
      <c r="AY830" s="229">
        <v>0</v>
      </c>
      <c r="BA830" s="91"/>
      <c r="CK830" s="160"/>
      <c r="CL830" s="18"/>
      <c r="CM830" s="18"/>
      <c r="CN830" s="18"/>
      <c r="CO830" s="18"/>
      <c r="CP830" s="219"/>
      <c r="DH830" s="232"/>
      <c r="DI830" s="234"/>
      <c r="DJ830" s="234"/>
      <c r="DK830" s="235"/>
      <c r="DL830" s="236"/>
      <c r="DM830" s="236"/>
      <c r="DN830" s="236"/>
    </row>
    <row r="831" spans="46:118" x14ac:dyDescent="0.3">
      <c r="AT831" s="44" t="str">
        <f t="shared" si="127"/>
        <v>7H_10T.LX.S</v>
      </c>
      <c r="AU831" s="18" t="s">
        <v>71</v>
      </c>
      <c r="AV831" s="18" t="s">
        <v>769</v>
      </c>
      <c r="AW831" s="20" t="s">
        <v>377</v>
      </c>
      <c r="AX831" s="228">
        <v>1220115</v>
      </c>
      <c r="AY831" s="229">
        <v>0</v>
      </c>
      <c r="BA831" s="91"/>
      <c r="CK831" s="160"/>
      <c r="CL831" s="18"/>
      <c r="CM831" s="18"/>
      <c r="CN831" s="18"/>
      <c r="CO831" s="18"/>
      <c r="CP831" s="219"/>
      <c r="DH831" s="232"/>
      <c r="DI831" s="234"/>
      <c r="DJ831" s="234"/>
      <c r="DK831" s="235"/>
      <c r="DL831" s="236"/>
      <c r="DM831" s="236"/>
      <c r="DN831" s="236"/>
    </row>
    <row r="832" spans="46:118" x14ac:dyDescent="0.3">
      <c r="AT832" s="44" t="str">
        <f t="shared" si="127"/>
        <v>8_10T.LX.S</v>
      </c>
      <c r="AU832" s="18" t="s">
        <v>71</v>
      </c>
      <c r="AV832" s="18" t="s">
        <v>776</v>
      </c>
      <c r="AW832" s="20" t="s">
        <v>377</v>
      </c>
      <c r="AX832" s="228">
        <v>1220115</v>
      </c>
      <c r="AY832" s="229">
        <v>0</v>
      </c>
      <c r="BA832" s="91"/>
      <c r="CK832" s="160"/>
      <c r="CL832" s="18"/>
      <c r="CM832" s="18"/>
      <c r="CN832" s="18"/>
      <c r="CO832" s="18"/>
      <c r="CP832" s="219"/>
      <c r="DH832" s="232"/>
      <c r="DI832" s="234"/>
      <c r="DJ832" s="234"/>
      <c r="DK832" s="235"/>
      <c r="DL832" s="236"/>
      <c r="DM832" s="236"/>
      <c r="DN832" s="236"/>
    </row>
    <row r="833" spans="46:118" x14ac:dyDescent="0.3">
      <c r="AT833" s="44" t="str">
        <f t="shared" si="127"/>
        <v>8_12T.LX.S</v>
      </c>
      <c r="AU833" s="18" t="s">
        <v>71</v>
      </c>
      <c r="AV833" s="18" t="s">
        <v>791</v>
      </c>
      <c r="AW833" s="20" t="s">
        <v>377</v>
      </c>
      <c r="AX833" s="228">
        <v>1220115</v>
      </c>
      <c r="AY833" s="229">
        <v>0</v>
      </c>
      <c r="BA833" s="91"/>
      <c r="CK833" s="160"/>
      <c r="CL833" s="18"/>
      <c r="CM833" s="18"/>
      <c r="CN833" s="18"/>
      <c r="CO833" s="18"/>
      <c r="CP833" s="219"/>
      <c r="DH833" s="232"/>
      <c r="DI833" s="234"/>
      <c r="DJ833" s="234"/>
      <c r="DK833" s="235"/>
      <c r="DL833" s="236"/>
      <c r="DM833" s="236"/>
      <c r="DN833" s="236"/>
    </row>
    <row r="834" spans="46:118" x14ac:dyDescent="0.3">
      <c r="AT834" s="44" t="str">
        <f t="shared" si="127"/>
        <v>8_14S.LX.S</v>
      </c>
      <c r="AU834" s="18" t="s">
        <v>71</v>
      </c>
      <c r="AV834" s="18" t="s">
        <v>1046</v>
      </c>
      <c r="AW834" s="20" t="s">
        <v>377</v>
      </c>
      <c r="AX834" s="228">
        <v>1220115</v>
      </c>
      <c r="AY834" s="229">
        <v>0</v>
      </c>
      <c r="BA834" s="91"/>
      <c r="CK834" s="160"/>
      <c r="CL834" s="18"/>
      <c r="CM834" s="18"/>
      <c r="CN834" s="220"/>
      <c r="CO834" s="18"/>
      <c r="CP834" s="219"/>
      <c r="DH834" s="232"/>
      <c r="DI834" s="234"/>
      <c r="DJ834" s="234"/>
      <c r="DK834" s="235"/>
      <c r="DL834" s="236"/>
      <c r="DM834" s="236"/>
      <c r="DN834" s="236"/>
    </row>
    <row r="835" spans="46:118" x14ac:dyDescent="0.3">
      <c r="AT835" s="44" t="str">
        <f t="shared" si="127"/>
        <v>9_10T.LX.S</v>
      </c>
      <c r="AU835" s="18" t="s">
        <v>71</v>
      </c>
      <c r="AV835" s="18" t="s">
        <v>783</v>
      </c>
      <c r="AW835" s="20" t="s">
        <v>377</v>
      </c>
      <c r="AX835" s="228">
        <v>1220115</v>
      </c>
      <c r="AY835" s="229">
        <v>0</v>
      </c>
      <c r="BA835" s="91"/>
      <c r="CK835" s="160"/>
      <c r="CL835" s="18"/>
      <c r="CM835" s="18"/>
      <c r="CN835" s="18"/>
      <c r="CO835" s="18"/>
      <c r="CP835" s="219"/>
      <c r="DH835" s="232"/>
      <c r="DI835" s="234"/>
      <c r="DJ835" s="234"/>
      <c r="DK835" s="235"/>
      <c r="DL835" s="236"/>
      <c r="DM835" s="236"/>
      <c r="DN835" s="236"/>
    </row>
    <row r="836" spans="46:118" x14ac:dyDescent="0.3">
      <c r="AT836" s="44" t="str">
        <f t="shared" si="127"/>
        <v>9_12T.LX.S</v>
      </c>
      <c r="AU836" s="18" t="s">
        <v>71</v>
      </c>
      <c r="AV836" s="18" t="s">
        <v>804</v>
      </c>
      <c r="AW836" s="20" t="s">
        <v>377</v>
      </c>
      <c r="AX836" s="228">
        <v>1220115</v>
      </c>
      <c r="AY836" s="229">
        <v>0</v>
      </c>
      <c r="BA836" s="91"/>
      <c r="CK836" s="160"/>
      <c r="CL836" s="18"/>
      <c r="CM836" s="18"/>
      <c r="CN836" s="18"/>
      <c r="CO836" s="18"/>
      <c r="CP836" s="219"/>
      <c r="DH836" s="232"/>
      <c r="DI836" s="234"/>
      <c r="DJ836" s="234"/>
      <c r="DK836" s="235"/>
      <c r="DL836" s="236"/>
      <c r="DM836" s="236"/>
      <c r="DN836" s="236"/>
    </row>
    <row r="837" spans="46:118" x14ac:dyDescent="0.3">
      <c r="AT837" s="44" t="str">
        <f t="shared" si="127"/>
        <v>9_13T.LX.S</v>
      </c>
      <c r="AU837" s="18" t="s">
        <v>71</v>
      </c>
      <c r="AV837" s="18" t="s">
        <v>837</v>
      </c>
      <c r="AW837" s="20" t="s">
        <v>377</v>
      </c>
      <c r="AX837" s="228">
        <v>1220115</v>
      </c>
      <c r="AY837" s="229">
        <v>0</v>
      </c>
      <c r="BA837" s="91"/>
      <c r="CK837" s="160"/>
      <c r="CL837" s="18"/>
      <c r="CM837" s="18"/>
      <c r="CN837" s="18"/>
      <c r="CO837" s="18"/>
      <c r="CP837" s="219"/>
      <c r="DH837" s="232"/>
      <c r="DI837" s="234"/>
      <c r="DJ837" s="234"/>
      <c r="DK837" s="235"/>
      <c r="DL837" s="236"/>
      <c r="DM837" s="236"/>
      <c r="DN837" s="236"/>
    </row>
    <row r="838" spans="46:118" x14ac:dyDescent="0.3">
      <c r="AT838" s="44" t="str">
        <f t="shared" si="127"/>
        <v>9_14T.LX.S</v>
      </c>
      <c r="AU838" s="18" t="s">
        <v>71</v>
      </c>
      <c r="AV838" s="18" t="s">
        <v>874</v>
      </c>
      <c r="AW838" s="20" t="s">
        <v>377</v>
      </c>
      <c r="AX838" s="228">
        <v>1220115</v>
      </c>
      <c r="AY838" s="229">
        <v>0</v>
      </c>
      <c r="BA838" s="91"/>
      <c r="CK838" s="160"/>
      <c r="CL838" s="18"/>
      <c r="CM838" s="18"/>
      <c r="CN838" s="220"/>
      <c r="CO838" s="18"/>
      <c r="CP838" s="219"/>
      <c r="DH838" s="232"/>
      <c r="DI838" s="234"/>
      <c r="DJ838" s="234"/>
      <c r="DK838" s="235"/>
      <c r="DL838" s="236"/>
      <c r="DM838" s="236"/>
      <c r="DN838" s="236"/>
    </row>
    <row r="839" spans="46:118" x14ac:dyDescent="0.3">
      <c r="AT839" s="44" t="str">
        <f t="shared" si="127"/>
        <v>10_12T.LX.V</v>
      </c>
      <c r="AU839" s="18" t="s">
        <v>71</v>
      </c>
      <c r="AV839" s="18" t="s">
        <v>813</v>
      </c>
      <c r="AW839" s="20" t="s">
        <v>940</v>
      </c>
      <c r="AX839" s="228">
        <v>1220115</v>
      </c>
      <c r="AY839" s="229">
        <v>0</v>
      </c>
      <c r="BA839" s="91"/>
      <c r="CK839" s="160"/>
      <c r="CL839" s="18"/>
      <c r="CM839" s="18"/>
      <c r="CN839" s="18"/>
      <c r="CO839" s="18"/>
      <c r="CP839" s="219"/>
      <c r="DH839" s="232"/>
      <c r="DI839" s="234"/>
      <c r="DJ839" s="234"/>
      <c r="DK839" s="235"/>
      <c r="DL839" s="236"/>
      <c r="DM839" s="236"/>
      <c r="DN839" s="236"/>
    </row>
    <row r="840" spans="46:118" x14ac:dyDescent="0.3">
      <c r="AT840" s="44" t="str">
        <f t="shared" si="127"/>
        <v>10_13T.LX.V</v>
      </c>
      <c r="AU840" s="18" t="s">
        <v>71</v>
      </c>
      <c r="AV840" s="18" t="s">
        <v>848</v>
      </c>
      <c r="AW840" s="20" t="s">
        <v>940</v>
      </c>
      <c r="AX840" s="228">
        <v>1220115</v>
      </c>
      <c r="AY840" s="229">
        <v>0</v>
      </c>
      <c r="BA840" s="91"/>
      <c r="CK840" s="160"/>
      <c r="CL840" s="18"/>
      <c r="CM840" s="18"/>
      <c r="CN840" s="18"/>
      <c r="CO840" s="18"/>
      <c r="CP840" s="219"/>
      <c r="DH840" s="232"/>
      <c r="DI840" s="234"/>
      <c r="DJ840" s="234"/>
      <c r="DK840" s="235"/>
      <c r="DL840" s="236"/>
      <c r="DM840" s="236"/>
      <c r="DN840" s="236"/>
    </row>
    <row r="841" spans="46:118" x14ac:dyDescent="0.3">
      <c r="AT841" s="44" t="str">
        <f t="shared" si="127"/>
        <v>10_14S.LX.V</v>
      </c>
      <c r="AU841" s="18" t="s">
        <v>71</v>
      </c>
      <c r="AV841" s="18" t="s">
        <v>1122</v>
      </c>
      <c r="AW841" s="20" t="s">
        <v>940</v>
      </c>
      <c r="AX841" s="228">
        <v>1220115</v>
      </c>
      <c r="AY841" s="229">
        <v>0</v>
      </c>
      <c r="BA841" s="91"/>
      <c r="CK841" s="160"/>
      <c r="CL841" s="18"/>
      <c r="CM841" s="18"/>
      <c r="CN841" s="18"/>
      <c r="CO841" s="18"/>
      <c r="CP841" s="219"/>
      <c r="DH841" s="232"/>
      <c r="DI841" s="234"/>
      <c r="DJ841" s="234"/>
      <c r="DK841" s="235"/>
      <c r="DL841" s="236"/>
      <c r="DM841" s="236"/>
      <c r="DN841" s="236"/>
    </row>
    <row r="842" spans="46:118" x14ac:dyDescent="0.3">
      <c r="AT842" s="44" t="str">
        <f t="shared" si="127"/>
        <v>10_14T.LX.V</v>
      </c>
      <c r="AU842" s="18" t="s">
        <v>71</v>
      </c>
      <c r="AV842" s="18" t="s">
        <v>887</v>
      </c>
      <c r="AW842" s="20" t="s">
        <v>940</v>
      </c>
      <c r="AX842" s="228">
        <v>1220115</v>
      </c>
      <c r="AY842" s="229">
        <v>0</v>
      </c>
      <c r="BA842" s="91"/>
      <c r="CK842" s="160"/>
      <c r="CL842" s="18"/>
      <c r="CM842" s="18"/>
      <c r="CN842" s="18"/>
      <c r="CO842" s="18"/>
      <c r="CP842" s="219"/>
      <c r="DH842" s="232"/>
      <c r="DI842" s="234"/>
      <c r="DJ842" s="234"/>
      <c r="DK842" s="235"/>
      <c r="DL842" s="236"/>
      <c r="DM842" s="236"/>
      <c r="DN842" s="236"/>
    </row>
    <row r="843" spans="46:118" x14ac:dyDescent="0.3">
      <c r="AT843" s="44" t="str">
        <f t="shared" si="127"/>
        <v>11_12T.LX.V</v>
      </c>
      <c r="AU843" s="18" t="s">
        <v>71</v>
      </c>
      <c r="AV843" s="18" t="s">
        <v>825</v>
      </c>
      <c r="AW843" s="20" t="s">
        <v>940</v>
      </c>
      <c r="AX843" s="228">
        <v>1220115</v>
      </c>
      <c r="AY843" s="229">
        <v>0</v>
      </c>
      <c r="BA843" s="91"/>
      <c r="CK843" s="160"/>
      <c r="CL843" s="18"/>
      <c r="CM843" s="18"/>
      <c r="CN843" s="18"/>
      <c r="CO843" s="18"/>
      <c r="CP843" s="219"/>
      <c r="DH843" s="232"/>
      <c r="DI843" s="234"/>
      <c r="DJ843" s="234"/>
      <c r="DK843" s="235"/>
      <c r="DL843" s="236"/>
      <c r="DM843" s="236"/>
      <c r="DN843" s="236"/>
    </row>
    <row r="844" spans="46:118" x14ac:dyDescent="0.3">
      <c r="AT844" s="44" t="str">
        <f t="shared" si="127"/>
        <v>11_13T.LX.V</v>
      </c>
      <c r="AU844" s="18" t="s">
        <v>71</v>
      </c>
      <c r="AV844" s="18" t="s">
        <v>857</v>
      </c>
      <c r="AW844" s="20" t="s">
        <v>940</v>
      </c>
      <c r="AX844" s="228">
        <v>1220115</v>
      </c>
      <c r="AY844" s="229">
        <v>0</v>
      </c>
      <c r="BA844" s="91"/>
      <c r="CK844" s="160"/>
      <c r="CL844" s="18"/>
      <c r="CM844" s="18"/>
      <c r="CN844" s="18"/>
      <c r="CO844" s="18"/>
      <c r="CP844" s="219"/>
      <c r="DH844" s="232"/>
      <c r="DI844" s="234"/>
      <c r="DJ844" s="234"/>
      <c r="DK844" s="235"/>
      <c r="DL844" s="236"/>
      <c r="DM844" s="236"/>
      <c r="DN844" s="236"/>
    </row>
    <row r="845" spans="46:118" x14ac:dyDescent="0.3">
      <c r="AT845" s="44" t="str">
        <f t="shared" si="127"/>
        <v>11_14T.LX.V</v>
      </c>
      <c r="AU845" s="18" t="s">
        <v>71</v>
      </c>
      <c r="AV845" s="18" t="s">
        <v>900</v>
      </c>
      <c r="AW845" s="20" t="s">
        <v>940</v>
      </c>
      <c r="AX845" s="228">
        <v>1220115</v>
      </c>
      <c r="AY845" s="229">
        <v>0</v>
      </c>
      <c r="BA845" s="91"/>
      <c r="CK845" s="160"/>
      <c r="CL845" s="18"/>
      <c r="CM845" s="18"/>
      <c r="CN845" s="18"/>
      <c r="CO845" s="18"/>
      <c r="CP845" s="219"/>
      <c r="DH845" s="232"/>
      <c r="DI845" s="234"/>
      <c r="DJ845" s="234"/>
      <c r="DK845" s="235"/>
      <c r="DL845" s="236"/>
      <c r="DM845" s="236"/>
      <c r="DN845" s="236"/>
    </row>
    <row r="846" spans="46:118" x14ac:dyDescent="0.3">
      <c r="AT846" s="44" t="str">
        <f t="shared" si="127"/>
        <v>12_13T.LX.V</v>
      </c>
      <c r="AU846" s="18" t="s">
        <v>71</v>
      </c>
      <c r="AV846" s="18" t="s">
        <v>865</v>
      </c>
      <c r="AW846" s="20" t="s">
        <v>940</v>
      </c>
      <c r="AX846" s="228">
        <v>1220115</v>
      </c>
      <c r="AY846" s="229">
        <v>0</v>
      </c>
      <c r="BA846" s="91"/>
      <c r="CK846" s="160"/>
      <c r="CL846" s="18"/>
      <c r="CM846" s="18"/>
      <c r="CN846" s="18"/>
      <c r="CO846" s="18"/>
      <c r="CP846" s="219"/>
      <c r="DH846" s="232"/>
      <c r="DI846" s="234"/>
      <c r="DJ846" s="234"/>
      <c r="DK846" s="235"/>
      <c r="DL846" s="236"/>
      <c r="DM846" s="236"/>
      <c r="DN846" s="236"/>
    </row>
    <row r="847" spans="46:118" x14ac:dyDescent="0.3">
      <c r="AT847" s="44" t="str">
        <f t="shared" si="127"/>
        <v>12_14F.LX.V</v>
      </c>
      <c r="AU847" s="18" t="s">
        <v>71</v>
      </c>
      <c r="AV847" s="18" t="s">
        <v>583</v>
      </c>
      <c r="AW847" s="20" t="s">
        <v>940</v>
      </c>
      <c r="AX847" s="228">
        <v>1220115</v>
      </c>
      <c r="AY847" s="229">
        <v>0</v>
      </c>
      <c r="BA847" s="91"/>
      <c r="CK847" s="160"/>
      <c r="CL847" s="18"/>
      <c r="CM847" s="18"/>
      <c r="CN847" s="18"/>
      <c r="CO847" s="18"/>
      <c r="CP847" s="219"/>
      <c r="DH847" s="232"/>
      <c r="DI847" s="234"/>
      <c r="DJ847" s="234"/>
      <c r="DK847" s="235"/>
      <c r="DL847" s="236"/>
      <c r="DM847" s="236"/>
      <c r="DN847" s="236"/>
    </row>
    <row r="848" spans="46:118" x14ac:dyDescent="0.3">
      <c r="AT848" s="44" t="str">
        <f t="shared" si="127"/>
        <v>12_14T.LX.V</v>
      </c>
      <c r="AU848" s="18" t="s">
        <v>71</v>
      </c>
      <c r="AV848" s="18" t="s">
        <v>913</v>
      </c>
      <c r="AW848" s="20" t="s">
        <v>940</v>
      </c>
      <c r="AX848" s="228">
        <v>1220115</v>
      </c>
      <c r="AY848" s="229">
        <v>0</v>
      </c>
      <c r="BA848" s="91"/>
      <c r="CK848" s="160"/>
      <c r="CL848" s="18"/>
      <c r="CM848" s="18"/>
      <c r="CN848" s="18"/>
      <c r="CO848" s="18"/>
      <c r="CP848" s="219"/>
      <c r="DH848" s="232"/>
      <c r="DI848" s="234"/>
      <c r="DJ848" s="234"/>
      <c r="DK848" s="235"/>
      <c r="DL848" s="236"/>
      <c r="DM848" s="236"/>
      <c r="DN848" s="236"/>
    </row>
    <row r="849" spans="46:118" x14ac:dyDescent="0.3">
      <c r="AT849" s="44" t="str">
        <f t="shared" si="127"/>
        <v>12_15T.LX.V</v>
      </c>
      <c r="AU849" s="18" t="s">
        <v>71</v>
      </c>
      <c r="AV849" s="18" t="s">
        <v>941</v>
      </c>
      <c r="AW849" s="20" t="s">
        <v>940</v>
      </c>
      <c r="AX849" s="228">
        <v>1220115</v>
      </c>
      <c r="AY849" s="229">
        <v>0</v>
      </c>
      <c r="BA849" s="91"/>
      <c r="CK849" s="160"/>
      <c r="CL849" s="18"/>
      <c r="CM849" s="18"/>
      <c r="CN849" s="18"/>
      <c r="CO849" s="18"/>
      <c r="CP849" s="219"/>
      <c r="DH849" s="232"/>
      <c r="DI849" s="234"/>
      <c r="DJ849" s="234"/>
      <c r="DK849" s="235"/>
      <c r="DL849" s="236"/>
      <c r="DM849" s="236"/>
      <c r="DN849" s="236"/>
    </row>
    <row r="850" spans="46:118" x14ac:dyDescent="0.3">
      <c r="AT850" s="44" t="str">
        <f t="shared" si="127"/>
        <v>12_18B.LX.V</v>
      </c>
      <c r="AU850" s="18" t="s">
        <v>71</v>
      </c>
      <c r="AV850" s="18" t="s">
        <v>133</v>
      </c>
      <c r="AW850" s="20" t="s">
        <v>940</v>
      </c>
      <c r="AX850" s="228">
        <v>1220115</v>
      </c>
      <c r="AY850" s="229">
        <v>0</v>
      </c>
      <c r="BA850" s="91"/>
      <c r="CK850" s="160"/>
      <c r="CL850" s="18"/>
      <c r="CM850" s="18"/>
      <c r="CN850" s="18"/>
      <c r="CO850" s="18"/>
      <c r="CP850" s="219"/>
      <c r="DH850" s="232"/>
      <c r="DI850" s="234"/>
      <c r="DJ850" s="234"/>
      <c r="DK850" s="235"/>
      <c r="DL850" s="236"/>
      <c r="DM850" s="236"/>
      <c r="DN850" s="236"/>
    </row>
    <row r="851" spans="46:118" x14ac:dyDescent="0.3">
      <c r="AT851" s="44" t="str">
        <f t="shared" ref="AT851:AT914" si="128">CONCATENATE(AV851,".",AU851,".",AW851)</f>
        <v>12_20B.LX.V</v>
      </c>
      <c r="AU851" s="18" t="s">
        <v>71</v>
      </c>
      <c r="AV851" s="18" t="s">
        <v>217</v>
      </c>
      <c r="AW851" s="20" t="s">
        <v>940</v>
      </c>
      <c r="AX851" s="228">
        <v>1220115</v>
      </c>
      <c r="AY851" s="229">
        <v>0</v>
      </c>
      <c r="BA851" s="91"/>
      <c r="CK851" s="160"/>
      <c r="CL851" s="18"/>
      <c r="CM851" s="18"/>
      <c r="CN851" s="18"/>
      <c r="CO851" s="18"/>
      <c r="CP851" s="219"/>
      <c r="DH851" s="232"/>
      <c r="DI851" s="234"/>
      <c r="DJ851" s="234"/>
      <c r="DK851" s="235"/>
      <c r="DL851" s="236"/>
      <c r="DM851" s="236"/>
      <c r="DN851" s="236"/>
    </row>
    <row r="852" spans="46:118" x14ac:dyDescent="0.3">
      <c r="AT852" s="44" t="str">
        <f t="shared" si="128"/>
        <v>12_22B.LX.V</v>
      </c>
      <c r="AU852" s="18" t="s">
        <v>71</v>
      </c>
      <c r="AV852" s="18" t="s">
        <v>330</v>
      </c>
      <c r="AW852" s="20" t="s">
        <v>940</v>
      </c>
      <c r="AX852" s="228">
        <v>1220115</v>
      </c>
      <c r="AY852" s="229">
        <v>0</v>
      </c>
      <c r="BA852" s="91"/>
      <c r="CK852" s="160"/>
      <c r="CL852" s="18"/>
      <c r="CM852" s="18"/>
      <c r="CN852" s="18"/>
      <c r="CO852" s="18"/>
      <c r="CP852" s="219"/>
      <c r="DH852" s="232"/>
      <c r="DI852" s="234"/>
      <c r="DJ852" s="234"/>
      <c r="DK852" s="235"/>
      <c r="DL852" s="236"/>
      <c r="DM852" s="236"/>
      <c r="DN852" s="236"/>
    </row>
    <row r="853" spans="46:118" x14ac:dyDescent="0.3">
      <c r="AT853" s="44" t="str">
        <f t="shared" si="128"/>
        <v>12_24B.LX.V</v>
      </c>
      <c r="AU853" s="18" t="s">
        <v>71</v>
      </c>
      <c r="AV853" s="18" t="s">
        <v>413</v>
      </c>
      <c r="AW853" s="20" t="s">
        <v>940</v>
      </c>
      <c r="AX853" s="228">
        <v>1220115</v>
      </c>
      <c r="AY853" s="229">
        <v>0</v>
      </c>
      <c r="BA853" s="91"/>
      <c r="CK853" s="160"/>
      <c r="CL853" s="18"/>
      <c r="CM853" s="18"/>
      <c r="CN853" s="18"/>
      <c r="CO853" s="18"/>
      <c r="CP853" s="219"/>
      <c r="DH853" s="232"/>
      <c r="DI853" s="234"/>
      <c r="DJ853" s="234"/>
      <c r="DK853" s="235"/>
      <c r="DL853" s="236"/>
      <c r="DM853" s="236"/>
      <c r="DN853" s="236"/>
    </row>
    <row r="854" spans="46:118" x14ac:dyDescent="0.3">
      <c r="AT854" s="44" t="str">
        <f t="shared" si="128"/>
        <v>12_26B.LX.V</v>
      </c>
      <c r="AU854" s="18" t="s">
        <v>71</v>
      </c>
      <c r="AV854" s="18" t="s">
        <v>494</v>
      </c>
      <c r="AW854" s="20" t="s">
        <v>940</v>
      </c>
      <c r="AX854" s="228">
        <v>1220115</v>
      </c>
      <c r="AY854" s="229">
        <v>0</v>
      </c>
      <c r="BA854" s="91"/>
      <c r="CK854" s="160"/>
      <c r="CL854" s="18"/>
      <c r="CM854" s="18"/>
      <c r="CN854" s="18"/>
      <c r="CO854" s="18"/>
      <c r="CP854" s="219"/>
      <c r="DH854" s="232"/>
      <c r="DI854" s="234"/>
      <c r="DJ854" s="234"/>
      <c r="DK854" s="235"/>
      <c r="DL854" s="236"/>
      <c r="DM854" s="236"/>
      <c r="DN854" s="236"/>
    </row>
    <row r="855" spans="46:118" x14ac:dyDescent="0.3">
      <c r="AT855" s="44" t="str">
        <f t="shared" si="128"/>
        <v>13_14F.LX.V</v>
      </c>
      <c r="AU855" s="18" t="s">
        <v>71</v>
      </c>
      <c r="AV855" s="18" t="s">
        <v>602</v>
      </c>
      <c r="AW855" s="20" t="s">
        <v>940</v>
      </c>
      <c r="AX855" s="228">
        <v>1220115</v>
      </c>
      <c r="AY855" s="229">
        <v>0</v>
      </c>
      <c r="BA855" s="91"/>
      <c r="CK855" s="160"/>
      <c r="CL855" s="18"/>
      <c r="CM855" s="18"/>
      <c r="CN855" s="18"/>
      <c r="CO855" s="18"/>
      <c r="CP855" s="221"/>
      <c r="DH855" s="232"/>
      <c r="DI855" s="234"/>
      <c r="DJ855" s="234"/>
      <c r="DK855" s="235"/>
      <c r="DL855" s="236"/>
      <c r="DM855" s="236"/>
      <c r="DN855" s="236"/>
    </row>
    <row r="856" spans="46:118" x14ac:dyDescent="0.3">
      <c r="AT856" s="44" t="str">
        <f t="shared" si="128"/>
        <v>13_14T.LX.V</v>
      </c>
      <c r="AU856" s="18" t="s">
        <v>71</v>
      </c>
      <c r="AV856" s="18" t="s">
        <v>926</v>
      </c>
      <c r="AW856" s="20" t="s">
        <v>940</v>
      </c>
      <c r="AX856" s="228">
        <v>1220115</v>
      </c>
      <c r="AY856" s="229">
        <v>0</v>
      </c>
      <c r="BA856" s="91"/>
      <c r="CK856" s="160"/>
      <c r="CL856" s="18"/>
      <c r="CM856" s="18"/>
      <c r="CN856" s="18"/>
      <c r="CO856" s="18"/>
      <c r="CP856" s="221"/>
      <c r="DH856" s="232"/>
      <c r="DI856" s="234"/>
      <c r="DJ856" s="234"/>
      <c r="DK856" s="235"/>
      <c r="DL856" s="236"/>
      <c r="DM856" s="236"/>
      <c r="DN856" s="236"/>
    </row>
    <row r="857" spans="46:118" x14ac:dyDescent="0.3">
      <c r="AT857" s="44" t="str">
        <f t="shared" si="128"/>
        <v>13_15F.LX.V</v>
      </c>
      <c r="AU857" s="18" t="s">
        <v>71</v>
      </c>
      <c r="AV857" s="18" t="s">
        <v>630</v>
      </c>
      <c r="AW857" s="20" t="s">
        <v>940</v>
      </c>
      <c r="AX857" s="228">
        <v>1220115</v>
      </c>
      <c r="AY857" s="229">
        <v>0</v>
      </c>
      <c r="BA857" s="91"/>
      <c r="CK857" s="160"/>
      <c r="CL857" s="18"/>
      <c r="CM857" s="18"/>
      <c r="CN857" s="18"/>
      <c r="CO857" s="18"/>
      <c r="CP857" s="221"/>
    </row>
    <row r="858" spans="46:118" x14ac:dyDescent="0.3">
      <c r="AT858" s="44" t="str">
        <f t="shared" si="128"/>
        <v>13_15T.LX.V</v>
      </c>
      <c r="AU858" s="18" t="s">
        <v>71</v>
      </c>
      <c r="AV858" s="18" t="s">
        <v>949</v>
      </c>
      <c r="AW858" s="20" t="s">
        <v>940</v>
      </c>
      <c r="AX858" s="228">
        <v>1220115</v>
      </c>
      <c r="AY858" s="229">
        <v>0</v>
      </c>
      <c r="BA858" s="91"/>
      <c r="CK858" s="160"/>
      <c r="CL858" s="18"/>
      <c r="CM858" s="18"/>
      <c r="CN858" s="18"/>
      <c r="CO858" s="18"/>
      <c r="CP858" s="221"/>
    </row>
    <row r="859" spans="46:118" x14ac:dyDescent="0.3">
      <c r="AT859" s="44" t="str">
        <f t="shared" si="128"/>
        <v>13_16F.LX.V</v>
      </c>
      <c r="AU859" s="18" t="s">
        <v>71</v>
      </c>
      <c r="AV859" s="18" t="s">
        <v>665</v>
      </c>
      <c r="AW859" s="20" t="s">
        <v>940</v>
      </c>
      <c r="AX859" s="228">
        <v>1220115</v>
      </c>
      <c r="AY859" s="229">
        <v>0</v>
      </c>
      <c r="BA859" s="91"/>
      <c r="CK859" s="160"/>
      <c r="CL859" s="18"/>
      <c r="CM859" s="18"/>
      <c r="CN859" s="18"/>
      <c r="CO859" s="18"/>
      <c r="CP859" s="221"/>
    </row>
    <row r="860" spans="46:118" x14ac:dyDescent="0.3">
      <c r="AT860" s="44" t="str">
        <f t="shared" si="128"/>
        <v>13_16T.LX.V</v>
      </c>
      <c r="AU860" s="18" t="s">
        <v>71</v>
      </c>
      <c r="AV860" s="18" t="s">
        <v>963</v>
      </c>
      <c r="AW860" s="20" t="s">
        <v>940</v>
      </c>
      <c r="AX860" s="228">
        <v>1220115</v>
      </c>
      <c r="AY860" s="229">
        <v>0</v>
      </c>
      <c r="BA860" s="91"/>
      <c r="CK860" s="160"/>
      <c r="CL860" s="18"/>
      <c r="CM860" s="18"/>
      <c r="CN860" s="18"/>
      <c r="CO860" s="18"/>
      <c r="CP860" s="221"/>
    </row>
    <row r="861" spans="46:118" x14ac:dyDescent="0.3">
      <c r="AT861" s="44" t="str">
        <f t="shared" si="128"/>
        <v>14_14F.LX.V</v>
      </c>
      <c r="AU861" s="18" t="s">
        <v>71</v>
      </c>
      <c r="AV861" s="18" t="s">
        <v>616</v>
      </c>
      <c r="AW861" s="20" t="s">
        <v>940</v>
      </c>
      <c r="AX861" s="228">
        <v>1220115</v>
      </c>
      <c r="AY861" s="229">
        <v>0</v>
      </c>
      <c r="BA861" s="91"/>
      <c r="CK861" s="160"/>
      <c r="CL861" s="18"/>
      <c r="CM861" s="18"/>
      <c r="CN861" s="18"/>
      <c r="CO861" s="18"/>
      <c r="CP861" s="221"/>
    </row>
    <row r="862" spans="46:118" x14ac:dyDescent="0.3">
      <c r="AT862" s="44" t="str">
        <f t="shared" si="128"/>
        <v>14_14T.LX.V</v>
      </c>
      <c r="AU862" s="18" t="s">
        <v>71</v>
      </c>
      <c r="AV862" s="18" t="s">
        <v>933</v>
      </c>
      <c r="AW862" s="20" t="s">
        <v>940</v>
      </c>
      <c r="AX862" s="228">
        <v>1220115</v>
      </c>
      <c r="AY862" s="229">
        <v>0</v>
      </c>
      <c r="BA862" s="91"/>
      <c r="CK862" s="160"/>
      <c r="CL862" s="18"/>
      <c r="CM862" s="18"/>
      <c r="CN862" s="18"/>
      <c r="CO862" s="18"/>
      <c r="CP862" s="221"/>
    </row>
    <row r="863" spans="46:118" x14ac:dyDescent="0.3">
      <c r="AT863" s="44" t="str">
        <f t="shared" si="128"/>
        <v>14_15F.LX.V</v>
      </c>
      <c r="AU863" s="18" t="s">
        <v>71</v>
      </c>
      <c r="AV863" s="18" t="s">
        <v>647</v>
      </c>
      <c r="AW863" s="20" t="s">
        <v>940</v>
      </c>
      <c r="AX863" s="228">
        <v>1220115</v>
      </c>
      <c r="AY863" s="229">
        <v>0</v>
      </c>
      <c r="BA863" s="91"/>
      <c r="CK863" s="160"/>
      <c r="CL863" s="18"/>
      <c r="CM863" s="18"/>
      <c r="CN863" s="18"/>
      <c r="CO863" s="18"/>
      <c r="CP863" s="221"/>
    </row>
    <row r="864" spans="46:118" x14ac:dyDescent="0.3">
      <c r="AT864" s="44" t="str">
        <f t="shared" si="128"/>
        <v>14_15T.LX.V</v>
      </c>
      <c r="AU864" s="18" t="s">
        <v>71</v>
      </c>
      <c r="AV864" s="18" t="s">
        <v>956</v>
      </c>
      <c r="AW864" s="20" t="s">
        <v>940</v>
      </c>
      <c r="AX864" s="228">
        <v>1220115</v>
      </c>
      <c r="AY864" s="229">
        <v>0</v>
      </c>
      <c r="BA864" s="91"/>
      <c r="CK864" s="160"/>
      <c r="CL864" s="18"/>
      <c r="CM864" s="18"/>
      <c r="CN864" s="18"/>
      <c r="CO864" s="18"/>
      <c r="CP864" s="221"/>
    </row>
    <row r="865" spans="46:94" x14ac:dyDescent="0.3">
      <c r="AT865" s="44" t="str">
        <f t="shared" si="128"/>
        <v>14_16F.LX.V</v>
      </c>
      <c r="AU865" s="18" t="s">
        <v>71</v>
      </c>
      <c r="AV865" s="18" t="s">
        <v>681</v>
      </c>
      <c r="AW865" s="20" t="s">
        <v>940</v>
      </c>
      <c r="AX865" s="228">
        <v>1220115</v>
      </c>
      <c r="AY865" s="229">
        <v>0</v>
      </c>
      <c r="BA865" s="91"/>
      <c r="CK865" s="160"/>
      <c r="CL865" s="18"/>
      <c r="CM865" s="18"/>
      <c r="CN865" s="18"/>
      <c r="CO865" s="18"/>
      <c r="CP865" s="221"/>
    </row>
    <row r="866" spans="46:94" x14ac:dyDescent="0.3">
      <c r="AT866" s="44" t="str">
        <f t="shared" si="128"/>
        <v>14_16T.LX.V</v>
      </c>
      <c r="AU866" s="18" t="s">
        <v>71</v>
      </c>
      <c r="AV866" s="18" t="s">
        <v>970</v>
      </c>
      <c r="AW866" s="20" t="s">
        <v>940</v>
      </c>
      <c r="AX866" s="228">
        <v>1220115</v>
      </c>
      <c r="AY866" s="229">
        <v>0</v>
      </c>
      <c r="BA866" s="91"/>
      <c r="CK866" s="160"/>
      <c r="CL866" s="18"/>
      <c r="CM866" s="18"/>
      <c r="CN866" s="18"/>
      <c r="CO866" s="18"/>
      <c r="CP866" s="221"/>
    </row>
    <row r="867" spans="46:94" x14ac:dyDescent="0.3">
      <c r="AT867" s="44" t="str">
        <f t="shared" si="128"/>
        <v>14_18B.LX.V</v>
      </c>
      <c r="AU867" s="18" t="s">
        <v>71</v>
      </c>
      <c r="AV867" s="18" t="s">
        <v>160</v>
      </c>
      <c r="AW867" s="20" t="s">
        <v>940</v>
      </c>
      <c r="AX867" s="228">
        <v>1220115</v>
      </c>
      <c r="AY867" s="229">
        <v>0</v>
      </c>
      <c r="BA867" s="91"/>
      <c r="CK867" s="160"/>
      <c r="CL867" s="18"/>
      <c r="CM867" s="18"/>
      <c r="CN867" s="18"/>
      <c r="CO867" s="18"/>
      <c r="CP867" s="221"/>
    </row>
    <row r="868" spans="46:94" x14ac:dyDescent="0.3">
      <c r="AT868" s="44" t="str">
        <f t="shared" si="128"/>
        <v>14_20B.LX.V</v>
      </c>
      <c r="AU868" s="18" t="s">
        <v>71</v>
      </c>
      <c r="AV868" s="18" t="s">
        <v>253</v>
      </c>
      <c r="AW868" s="20" t="s">
        <v>940</v>
      </c>
      <c r="AX868" s="228">
        <v>1220115</v>
      </c>
      <c r="AY868" s="229">
        <v>0</v>
      </c>
      <c r="BA868" s="91"/>
      <c r="CK868" s="160"/>
      <c r="CL868" s="18"/>
      <c r="CM868" s="18"/>
      <c r="CN868" s="18"/>
      <c r="CO868" s="18"/>
      <c r="CP868" s="221"/>
    </row>
    <row r="869" spans="46:94" x14ac:dyDescent="0.3">
      <c r="AT869" s="44" t="str">
        <f t="shared" si="128"/>
        <v>14_22B.LX.V</v>
      </c>
      <c r="AU869" s="18" t="s">
        <v>71</v>
      </c>
      <c r="AV869" s="18" t="s">
        <v>346</v>
      </c>
      <c r="AW869" s="20" t="s">
        <v>940</v>
      </c>
      <c r="AX869" s="228">
        <v>1220115</v>
      </c>
      <c r="AY869" s="229">
        <v>0</v>
      </c>
      <c r="BA869" s="91"/>
      <c r="CK869" s="160"/>
      <c r="CL869" s="18"/>
      <c r="CM869" s="18"/>
      <c r="CN869" s="18"/>
      <c r="CO869" s="18"/>
      <c r="CP869" s="221"/>
    </row>
    <row r="870" spans="46:94" x14ac:dyDescent="0.3">
      <c r="AT870" s="44" t="str">
        <f t="shared" si="128"/>
        <v>14_24B.LX.V</v>
      </c>
      <c r="AU870" s="18" t="s">
        <v>71</v>
      </c>
      <c r="AV870" s="18" t="s">
        <v>428</v>
      </c>
      <c r="AW870" s="20" t="s">
        <v>940</v>
      </c>
      <c r="AX870" s="228">
        <v>1220115</v>
      </c>
      <c r="AY870" s="229">
        <v>0</v>
      </c>
      <c r="BA870" s="91"/>
      <c r="CK870" s="160"/>
      <c r="CL870" s="18"/>
      <c r="CM870" s="18"/>
      <c r="CN870" s="18"/>
      <c r="CO870" s="18"/>
      <c r="CP870" s="221"/>
    </row>
    <row r="871" spans="46:94" x14ac:dyDescent="0.3">
      <c r="AT871" s="44" t="str">
        <f t="shared" si="128"/>
        <v>14_26B.LX.V</v>
      </c>
      <c r="AU871" s="18" t="s">
        <v>71</v>
      </c>
      <c r="AV871" s="18" t="s">
        <v>512</v>
      </c>
      <c r="AW871" s="20" t="s">
        <v>940</v>
      </c>
      <c r="AX871" s="228">
        <v>1220115</v>
      </c>
      <c r="AY871" s="229">
        <v>0</v>
      </c>
      <c r="BA871" s="91"/>
      <c r="CK871" s="160"/>
      <c r="CL871" s="18"/>
      <c r="CM871" s="18"/>
      <c r="CN871" s="18"/>
      <c r="CO871" s="18"/>
      <c r="CP871" s="221"/>
    </row>
    <row r="872" spans="46:94" x14ac:dyDescent="0.3">
      <c r="AT872" s="44" t="str">
        <f t="shared" si="128"/>
        <v>15_16F.LX.V</v>
      </c>
      <c r="AU872" s="18" t="s">
        <v>71</v>
      </c>
      <c r="AV872" s="18" t="s">
        <v>698</v>
      </c>
      <c r="AW872" s="20" t="s">
        <v>940</v>
      </c>
      <c r="AX872" s="228">
        <v>1220115</v>
      </c>
      <c r="AY872" s="229">
        <v>0</v>
      </c>
      <c r="BA872" s="91"/>
      <c r="CK872" s="160"/>
      <c r="CL872" s="18"/>
      <c r="CM872" s="18"/>
      <c r="CN872" s="18"/>
      <c r="CO872" s="18"/>
      <c r="CP872" s="221"/>
    </row>
    <row r="873" spans="46:94" x14ac:dyDescent="0.3">
      <c r="AT873" s="44" t="str">
        <f t="shared" si="128"/>
        <v>15_16T.LX.V</v>
      </c>
      <c r="AU873" s="18" t="s">
        <v>71</v>
      </c>
      <c r="AV873" s="18" t="s">
        <v>977</v>
      </c>
      <c r="AW873" s="20" t="s">
        <v>940</v>
      </c>
      <c r="AX873" s="228">
        <v>1220115</v>
      </c>
      <c r="AY873" s="229">
        <v>0</v>
      </c>
      <c r="BA873" s="91"/>
      <c r="CK873" s="160"/>
      <c r="CL873" s="18"/>
      <c r="CM873" s="18"/>
      <c r="CN873" s="18"/>
      <c r="CO873" s="18"/>
      <c r="CP873" s="221"/>
    </row>
    <row r="874" spans="46:94" x14ac:dyDescent="0.3">
      <c r="AT874" s="44" t="str">
        <f t="shared" si="128"/>
        <v>16_16F.LX.V</v>
      </c>
      <c r="AU874" s="18" t="s">
        <v>71</v>
      </c>
      <c r="AV874" s="18" t="s">
        <v>714</v>
      </c>
      <c r="AW874" s="20" t="s">
        <v>940</v>
      </c>
      <c r="AX874" s="228">
        <v>1220115</v>
      </c>
      <c r="AY874" s="229">
        <v>0</v>
      </c>
      <c r="BA874" s="91"/>
      <c r="CK874" s="160"/>
      <c r="CL874" s="18"/>
      <c r="CM874" s="18"/>
      <c r="CN874" s="18"/>
      <c r="CO874" s="18"/>
      <c r="CP874" s="221"/>
    </row>
    <row r="875" spans="46:94" x14ac:dyDescent="0.3">
      <c r="AT875" s="44" t="str">
        <f t="shared" si="128"/>
        <v>16_16T.LX.V</v>
      </c>
      <c r="AU875" s="18" t="s">
        <v>71</v>
      </c>
      <c r="AV875" s="18" t="s">
        <v>985</v>
      </c>
      <c r="AW875" s="20" t="s">
        <v>940</v>
      </c>
      <c r="AX875" s="228">
        <v>1220115</v>
      </c>
      <c r="AY875" s="229">
        <v>0</v>
      </c>
      <c r="BA875" s="91"/>
      <c r="CK875" s="160"/>
      <c r="CL875" s="18"/>
      <c r="CM875" s="18"/>
      <c r="CN875" s="18"/>
      <c r="CO875" s="18"/>
      <c r="CP875" s="221"/>
    </row>
    <row r="876" spans="46:94" x14ac:dyDescent="0.3">
      <c r="AT876" s="44" t="str">
        <f t="shared" si="128"/>
        <v>16_18B.LX.V</v>
      </c>
      <c r="AU876" s="18" t="s">
        <v>71</v>
      </c>
      <c r="AV876" s="18" t="s">
        <v>186</v>
      </c>
      <c r="AW876" s="20" t="s">
        <v>940</v>
      </c>
      <c r="AX876" s="228">
        <v>1220115</v>
      </c>
      <c r="AY876" s="229">
        <v>0</v>
      </c>
      <c r="BA876" s="91"/>
      <c r="CK876" s="160"/>
      <c r="CL876" s="18"/>
      <c r="CM876" s="18"/>
      <c r="CN876" s="18"/>
      <c r="CO876" s="18"/>
      <c r="CP876" s="221"/>
    </row>
    <row r="877" spans="46:94" x14ac:dyDescent="0.3">
      <c r="AT877" s="44" t="str">
        <f t="shared" si="128"/>
        <v>16_18F.LX.V</v>
      </c>
      <c r="AU877" s="18" t="s">
        <v>71</v>
      </c>
      <c r="AV877" s="18" t="s">
        <v>726</v>
      </c>
      <c r="AW877" s="20" t="s">
        <v>940</v>
      </c>
      <c r="AX877" s="228">
        <v>1220115</v>
      </c>
      <c r="AY877" s="229">
        <v>0</v>
      </c>
      <c r="BA877" s="91"/>
      <c r="CK877" s="160"/>
      <c r="CL877" s="18"/>
      <c r="CM877" s="18"/>
      <c r="CN877" s="18"/>
      <c r="CO877" s="18"/>
      <c r="CP877" s="221"/>
    </row>
    <row r="878" spans="46:94" x14ac:dyDescent="0.3">
      <c r="AT878" s="44" t="str">
        <f t="shared" si="128"/>
        <v>16_20B.LX.V</v>
      </c>
      <c r="AU878" s="18" t="s">
        <v>71</v>
      </c>
      <c r="AV878" s="18" t="s">
        <v>293</v>
      </c>
      <c r="AW878" s="20" t="s">
        <v>940</v>
      </c>
      <c r="AX878" s="228">
        <v>1220115</v>
      </c>
      <c r="AY878" s="229">
        <v>0</v>
      </c>
      <c r="BA878" s="91"/>
      <c r="CK878" s="160"/>
      <c r="CL878" s="18"/>
      <c r="CM878" s="18"/>
      <c r="CN878" s="18"/>
      <c r="CO878" s="18"/>
      <c r="CP878" s="221"/>
    </row>
    <row r="879" spans="46:94" x14ac:dyDescent="0.3">
      <c r="AT879" s="44" t="str">
        <f t="shared" si="128"/>
        <v>16_22B.LX.V</v>
      </c>
      <c r="AU879" s="18" t="s">
        <v>71</v>
      </c>
      <c r="AV879" s="18" t="s">
        <v>365</v>
      </c>
      <c r="AW879" s="20" t="s">
        <v>940</v>
      </c>
      <c r="AX879" s="228">
        <v>1220115</v>
      </c>
      <c r="AY879" s="229">
        <v>0</v>
      </c>
      <c r="BA879" s="91"/>
      <c r="CK879" s="160"/>
      <c r="CL879" s="18"/>
      <c r="CM879" s="18"/>
      <c r="CN879" s="18"/>
      <c r="CO879" s="18"/>
      <c r="CP879" s="221"/>
    </row>
    <row r="880" spans="46:94" x14ac:dyDescent="0.3">
      <c r="AT880" s="44" t="str">
        <f t="shared" si="128"/>
        <v>16_24B.LX.V</v>
      </c>
      <c r="AU880" s="18" t="s">
        <v>71</v>
      </c>
      <c r="AV880" s="18" t="s">
        <v>444</v>
      </c>
      <c r="AW880" s="20" t="s">
        <v>940</v>
      </c>
      <c r="AX880" s="228">
        <v>1220115</v>
      </c>
      <c r="AY880" s="229">
        <v>0</v>
      </c>
      <c r="BA880" s="91"/>
      <c r="CK880" s="160"/>
      <c r="CL880" s="18"/>
      <c r="CM880" s="18"/>
      <c r="CN880" s="18"/>
      <c r="CO880" s="18"/>
      <c r="CP880" s="221"/>
    </row>
    <row r="881" spans="46:94" x14ac:dyDescent="0.3">
      <c r="AT881" s="44" t="str">
        <f t="shared" si="128"/>
        <v>16_26B.LX.V</v>
      </c>
      <c r="AU881" s="18" t="s">
        <v>71</v>
      </c>
      <c r="AV881" s="18" t="s">
        <v>532</v>
      </c>
      <c r="AW881" s="20" t="s">
        <v>940</v>
      </c>
      <c r="AX881" s="228">
        <v>1220115</v>
      </c>
      <c r="AY881" s="229">
        <v>0</v>
      </c>
      <c r="BA881" s="91"/>
      <c r="CK881" s="160"/>
      <c r="CL881" s="18"/>
      <c r="CM881" s="18"/>
      <c r="CN881" s="18"/>
      <c r="CO881" s="18"/>
      <c r="CP881" s="221"/>
    </row>
    <row r="882" spans="46:94" x14ac:dyDescent="0.3">
      <c r="AT882" s="44" t="str">
        <f t="shared" si="128"/>
        <v>18_20B.LX.V</v>
      </c>
      <c r="AU882" s="18" t="s">
        <v>71</v>
      </c>
      <c r="AV882" s="18" t="s">
        <v>312</v>
      </c>
      <c r="AW882" s="20" t="s">
        <v>940</v>
      </c>
      <c r="AX882" s="228">
        <v>1220115</v>
      </c>
      <c r="AY882" s="229">
        <v>0</v>
      </c>
      <c r="BA882" s="91"/>
      <c r="CK882" s="160"/>
      <c r="CL882" s="18"/>
      <c r="CM882" s="18"/>
      <c r="CN882" s="18"/>
      <c r="CO882" s="18"/>
      <c r="CP882" s="221"/>
    </row>
    <row r="883" spans="46:94" x14ac:dyDescent="0.3">
      <c r="AT883" s="44" t="str">
        <f t="shared" si="128"/>
        <v>18_22B.LX.V</v>
      </c>
      <c r="AU883" s="18" t="s">
        <v>71</v>
      </c>
      <c r="AV883" s="18" t="s">
        <v>382</v>
      </c>
      <c r="AW883" s="20" t="s">
        <v>940</v>
      </c>
      <c r="AX883" s="228">
        <v>1220115</v>
      </c>
      <c r="AY883" s="229">
        <v>0</v>
      </c>
      <c r="BA883" s="91"/>
      <c r="CK883" s="160"/>
      <c r="CL883" s="18"/>
      <c r="CM883" s="18"/>
      <c r="CN883" s="18"/>
      <c r="CO883" s="18"/>
      <c r="CP883" s="221"/>
    </row>
    <row r="884" spans="46:94" x14ac:dyDescent="0.3">
      <c r="AT884" s="44" t="str">
        <f t="shared" si="128"/>
        <v>18_24B.LX.V</v>
      </c>
      <c r="AU884" s="18" t="s">
        <v>71</v>
      </c>
      <c r="AV884" s="18" t="s">
        <v>461</v>
      </c>
      <c r="AW884" s="20" t="s">
        <v>940</v>
      </c>
      <c r="AX884" s="228">
        <v>1220115</v>
      </c>
      <c r="AY884" s="229">
        <v>0</v>
      </c>
      <c r="BA884" s="91"/>
      <c r="CK884" s="160"/>
      <c r="CL884" s="18"/>
      <c r="CM884" s="18"/>
      <c r="CN884" s="18"/>
      <c r="CO884" s="18"/>
      <c r="CP884" s="221"/>
    </row>
    <row r="885" spans="46:94" x14ac:dyDescent="0.3">
      <c r="AT885" s="44" t="str">
        <f t="shared" si="128"/>
        <v>20_20B.LX.V</v>
      </c>
      <c r="AU885" s="18" t="s">
        <v>71</v>
      </c>
      <c r="AV885" s="18" t="s">
        <v>331</v>
      </c>
      <c r="AW885" s="20" t="s">
        <v>940</v>
      </c>
      <c r="AX885" s="228">
        <v>1220115</v>
      </c>
      <c r="AY885" s="229">
        <v>0</v>
      </c>
      <c r="BA885" s="91"/>
      <c r="CK885" s="160"/>
      <c r="CL885" s="18"/>
      <c r="CM885" s="18"/>
      <c r="CN885" s="18"/>
      <c r="CO885" s="18"/>
      <c r="CP885" s="221"/>
    </row>
    <row r="886" spans="46:94" x14ac:dyDescent="0.3">
      <c r="AT886" s="44" t="str">
        <f t="shared" si="128"/>
        <v>20_22B.LX.V</v>
      </c>
      <c r="AU886" s="18" t="s">
        <v>71</v>
      </c>
      <c r="AV886" s="18" t="s">
        <v>400</v>
      </c>
      <c r="AW886" s="20" t="s">
        <v>940</v>
      </c>
      <c r="AX886" s="228">
        <v>1220115</v>
      </c>
      <c r="AY886" s="229">
        <v>0</v>
      </c>
      <c r="BA886" s="91"/>
      <c r="CK886" s="160"/>
      <c r="CL886" s="18"/>
      <c r="CM886" s="18"/>
      <c r="CN886" s="18"/>
      <c r="CO886" s="18"/>
      <c r="CP886" s="221"/>
    </row>
    <row r="887" spans="46:94" x14ac:dyDescent="0.3">
      <c r="AT887" s="44" t="str">
        <f t="shared" si="128"/>
        <v>20_24B.LX.V</v>
      </c>
      <c r="AU887" s="18" t="s">
        <v>71</v>
      </c>
      <c r="AV887" s="18" t="s">
        <v>479</v>
      </c>
      <c r="AW887" s="20" t="s">
        <v>940</v>
      </c>
      <c r="AX887" s="228">
        <v>1220115</v>
      </c>
      <c r="AY887" s="229">
        <v>0</v>
      </c>
      <c r="BA887" s="91"/>
      <c r="CK887" s="160"/>
      <c r="CL887" s="18"/>
      <c r="CM887" s="18"/>
      <c r="CN887" s="18"/>
      <c r="CO887" s="18"/>
      <c r="CP887" s="221"/>
    </row>
    <row r="888" spans="46:94" x14ac:dyDescent="0.3">
      <c r="AT888" s="44" t="str">
        <f t="shared" si="128"/>
        <v>4_14S.LX.V</v>
      </c>
      <c r="AU888" s="18" t="s">
        <v>71</v>
      </c>
      <c r="AV888" s="18" t="s">
        <v>1017</v>
      </c>
      <c r="AW888" s="20" t="s">
        <v>940</v>
      </c>
      <c r="AX888" s="228">
        <v>1220115</v>
      </c>
      <c r="AY888" s="229">
        <v>0</v>
      </c>
      <c r="BA888" s="91"/>
      <c r="CK888" s="160"/>
      <c r="CL888" s="18"/>
      <c r="CM888" s="18"/>
      <c r="CN888" s="18"/>
      <c r="CO888" s="18"/>
      <c r="CP888" s="221"/>
    </row>
    <row r="889" spans="46:94" x14ac:dyDescent="0.3">
      <c r="AT889" s="44" t="str">
        <f t="shared" si="128"/>
        <v>4_14x8S.LX.V</v>
      </c>
      <c r="AU889" s="18" t="s">
        <v>71</v>
      </c>
      <c r="AV889" s="18" t="s">
        <v>1049</v>
      </c>
      <c r="AW889" s="20" t="s">
        <v>940</v>
      </c>
      <c r="AX889" s="228">
        <v>1220115</v>
      </c>
      <c r="AY889" s="229">
        <v>0</v>
      </c>
      <c r="BA889" s="91"/>
      <c r="CK889" s="160"/>
      <c r="CL889" s="18"/>
      <c r="CM889" s="18"/>
      <c r="CN889" s="18"/>
      <c r="CO889" s="18"/>
      <c r="CP889" s="221"/>
    </row>
    <row r="890" spans="46:94" x14ac:dyDescent="0.3">
      <c r="AT890" s="44" t="str">
        <f t="shared" si="128"/>
        <v>5_14S.LX.V</v>
      </c>
      <c r="AU890" s="18" t="s">
        <v>71</v>
      </c>
      <c r="AV890" s="18" t="s">
        <v>1026</v>
      </c>
      <c r="AW890" s="20" t="s">
        <v>940</v>
      </c>
      <c r="AX890" s="228">
        <v>1220115</v>
      </c>
      <c r="AY890" s="229">
        <v>0</v>
      </c>
      <c r="BA890" s="91"/>
      <c r="CK890" s="160"/>
      <c r="CL890" s="18"/>
      <c r="CM890" s="18"/>
      <c r="CN890" s="18"/>
      <c r="CO890" s="18"/>
      <c r="CP890" s="221"/>
    </row>
    <row r="891" spans="46:94" x14ac:dyDescent="0.3">
      <c r="AT891" s="44" t="str">
        <f t="shared" si="128"/>
        <v>5_14x8S.LX.V</v>
      </c>
      <c r="AU891" s="18" t="s">
        <v>71</v>
      </c>
      <c r="AV891" s="18" t="s">
        <v>1059</v>
      </c>
      <c r="AW891" s="20" t="s">
        <v>940</v>
      </c>
      <c r="AX891" s="228">
        <v>1220115</v>
      </c>
      <c r="AY891" s="229">
        <v>0</v>
      </c>
      <c r="BA891" s="91"/>
      <c r="CK891" s="160"/>
      <c r="CL891" s="18"/>
      <c r="CM891" s="18"/>
      <c r="CN891" s="18"/>
      <c r="CO891" s="18"/>
      <c r="CP891" s="221"/>
    </row>
    <row r="892" spans="46:94" x14ac:dyDescent="0.3">
      <c r="AT892" s="44" t="str">
        <f t="shared" si="128"/>
        <v>5H_14x8S.LX.V</v>
      </c>
      <c r="AU892" s="18" t="s">
        <v>71</v>
      </c>
      <c r="AV892" s="18" t="s">
        <v>1067</v>
      </c>
      <c r="AW892" s="20" t="s">
        <v>940</v>
      </c>
      <c r="AX892" s="228">
        <v>1220115</v>
      </c>
      <c r="AY892" s="229">
        <v>0</v>
      </c>
      <c r="BA892" s="91"/>
      <c r="CK892" s="160"/>
      <c r="CL892" s="18"/>
      <c r="CM892" s="18"/>
      <c r="CN892" s="18"/>
      <c r="CO892" s="18"/>
      <c r="CP892" s="221"/>
    </row>
    <row r="893" spans="46:94" x14ac:dyDescent="0.3">
      <c r="AT893" s="44" t="str">
        <f t="shared" si="128"/>
        <v>6_12S.LX.V</v>
      </c>
      <c r="AU893" s="18" t="s">
        <v>71</v>
      </c>
      <c r="AV893" s="18" t="s">
        <v>995</v>
      </c>
      <c r="AW893" s="20" t="s">
        <v>940</v>
      </c>
      <c r="AX893" s="228">
        <v>1220115</v>
      </c>
      <c r="AY893" s="229">
        <v>0</v>
      </c>
      <c r="BA893" s="91"/>
      <c r="CK893" s="160"/>
      <c r="CL893" s="18"/>
      <c r="CM893" s="18"/>
      <c r="CN893" s="18"/>
      <c r="CO893" s="18"/>
      <c r="CP893" s="221"/>
    </row>
    <row r="894" spans="46:94" x14ac:dyDescent="0.3">
      <c r="AT894" s="44" t="str">
        <f t="shared" si="128"/>
        <v>6_13S.LX.V</v>
      </c>
      <c r="AU894" s="18" t="s">
        <v>71</v>
      </c>
      <c r="AV894" s="18" t="s">
        <v>1012</v>
      </c>
      <c r="AW894" s="20" t="s">
        <v>940</v>
      </c>
      <c r="AX894" s="228">
        <v>1220115</v>
      </c>
      <c r="AY894" s="229">
        <v>0</v>
      </c>
      <c r="BA894" s="91"/>
      <c r="CK894" s="160"/>
      <c r="CL894" s="18"/>
      <c r="CM894" s="18"/>
      <c r="CN894" s="18"/>
      <c r="CO894" s="18"/>
      <c r="CP894" s="221"/>
    </row>
    <row r="895" spans="46:94" x14ac:dyDescent="0.3">
      <c r="AT895" s="44" t="str">
        <f t="shared" si="128"/>
        <v>6H_14S.LX.V</v>
      </c>
      <c r="AU895" s="18" t="s">
        <v>71</v>
      </c>
      <c r="AV895" s="18" t="s">
        <v>1039</v>
      </c>
      <c r="AW895" s="20" t="s">
        <v>940</v>
      </c>
      <c r="AX895" s="228">
        <v>1220115</v>
      </c>
      <c r="AY895" s="229">
        <v>0</v>
      </c>
      <c r="BA895" s="91"/>
      <c r="CK895" s="160"/>
      <c r="CL895" s="18"/>
      <c r="CM895" s="18"/>
      <c r="CN895" s="18"/>
      <c r="CO895" s="18"/>
      <c r="CP895" s="221"/>
    </row>
    <row r="896" spans="46:94" x14ac:dyDescent="0.3">
      <c r="AT896" s="44" t="str">
        <f t="shared" si="128"/>
        <v>6H_14x8S.LX.V</v>
      </c>
      <c r="AU896" s="18" t="s">
        <v>71</v>
      </c>
      <c r="AV896" s="18" t="s">
        <v>1075</v>
      </c>
      <c r="AW896" s="20" t="s">
        <v>940</v>
      </c>
      <c r="AX896" s="228">
        <v>1220115</v>
      </c>
      <c r="AY896" s="229">
        <v>0</v>
      </c>
      <c r="BA896" s="91"/>
      <c r="CK896" s="160"/>
      <c r="CL896" s="18"/>
      <c r="CM896" s="18"/>
      <c r="CN896" s="18"/>
      <c r="CO896" s="18"/>
      <c r="CP896" s="221"/>
    </row>
    <row r="897" spans="46:94" x14ac:dyDescent="0.3">
      <c r="AT897" s="44" t="str">
        <f t="shared" si="128"/>
        <v>7_10T.LX.V</v>
      </c>
      <c r="AU897" s="18" t="s">
        <v>71</v>
      </c>
      <c r="AV897" s="18" t="s">
        <v>763</v>
      </c>
      <c r="AW897" s="20" t="s">
        <v>940</v>
      </c>
      <c r="AX897" s="228">
        <v>1220115</v>
      </c>
      <c r="AY897" s="229">
        <v>0</v>
      </c>
      <c r="BA897" s="91"/>
      <c r="CK897" s="160"/>
      <c r="CL897" s="18"/>
      <c r="CM897" s="18"/>
      <c r="CN897" s="18"/>
      <c r="CO897" s="18"/>
      <c r="CP897" s="221"/>
    </row>
    <row r="898" spans="46:94" x14ac:dyDescent="0.3">
      <c r="AT898" s="44" t="str">
        <f t="shared" si="128"/>
        <v>7H_10T.LX.V</v>
      </c>
      <c r="AU898" s="18" t="s">
        <v>71</v>
      </c>
      <c r="AV898" s="18" t="s">
        <v>769</v>
      </c>
      <c r="AW898" s="20" t="s">
        <v>940</v>
      </c>
      <c r="AX898" s="228">
        <v>1220115</v>
      </c>
      <c r="AY898" s="229">
        <v>0</v>
      </c>
      <c r="BA898" s="91"/>
      <c r="CK898" s="160"/>
      <c r="CL898" s="18"/>
      <c r="CM898" s="18"/>
      <c r="CN898" s="18"/>
      <c r="CO898" s="18"/>
      <c r="CP898" s="221"/>
    </row>
    <row r="899" spans="46:94" x14ac:dyDescent="0.3">
      <c r="AT899" s="44" t="str">
        <f t="shared" si="128"/>
        <v>8_10T.LX.V</v>
      </c>
      <c r="AU899" s="18" t="s">
        <v>71</v>
      </c>
      <c r="AV899" s="18" t="s">
        <v>776</v>
      </c>
      <c r="AW899" s="20" t="s">
        <v>940</v>
      </c>
      <c r="AX899" s="228">
        <v>1220115</v>
      </c>
      <c r="AY899" s="229">
        <v>0</v>
      </c>
      <c r="BA899" s="91"/>
      <c r="CK899" s="160"/>
      <c r="CL899" s="18"/>
      <c r="CM899" s="18"/>
      <c r="CN899" s="18"/>
      <c r="CO899" s="18"/>
      <c r="CP899" s="221"/>
    </row>
    <row r="900" spans="46:94" x14ac:dyDescent="0.3">
      <c r="AT900" s="44" t="str">
        <f t="shared" si="128"/>
        <v>8_12T.LX.V</v>
      </c>
      <c r="AU900" s="18" t="s">
        <v>71</v>
      </c>
      <c r="AV900" s="18" t="s">
        <v>791</v>
      </c>
      <c r="AW900" s="20" t="s">
        <v>940</v>
      </c>
      <c r="AX900" s="228">
        <v>1220115</v>
      </c>
      <c r="AY900" s="229">
        <v>0</v>
      </c>
      <c r="BA900" s="91"/>
      <c r="CK900" s="160"/>
      <c r="CL900" s="18"/>
      <c r="CM900" s="18"/>
      <c r="CN900" s="18"/>
      <c r="CO900" s="18"/>
      <c r="CP900" s="221"/>
    </row>
    <row r="901" spans="46:94" x14ac:dyDescent="0.3">
      <c r="AT901" s="44" t="str">
        <f t="shared" si="128"/>
        <v>8_14S.LX.V</v>
      </c>
      <c r="AU901" s="18" t="s">
        <v>71</v>
      </c>
      <c r="AV901" s="18" t="s">
        <v>1046</v>
      </c>
      <c r="AW901" s="20" t="s">
        <v>940</v>
      </c>
      <c r="AX901" s="228">
        <v>1220115</v>
      </c>
      <c r="AY901" s="229">
        <v>0</v>
      </c>
      <c r="BA901" s="91"/>
      <c r="CK901" s="160"/>
      <c r="CL901" s="18"/>
      <c r="CM901" s="18"/>
      <c r="CN901" s="18"/>
      <c r="CO901" s="18"/>
      <c r="CP901" s="221"/>
    </row>
    <row r="902" spans="46:94" x14ac:dyDescent="0.3">
      <c r="AT902" s="44" t="str">
        <f t="shared" si="128"/>
        <v>9_10T.LX.V</v>
      </c>
      <c r="AU902" s="18" t="s">
        <v>71</v>
      </c>
      <c r="AV902" s="18" t="s">
        <v>783</v>
      </c>
      <c r="AW902" s="20" t="s">
        <v>940</v>
      </c>
      <c r="AX902" s="228">
        <v>1220115</v>
      </c>
      <c r="AY902" s="229">
        <v>0</v>
      </c>
      <c r="BA902" s="91"/>
      <c r="CK902" s="160"/>
      <c r="CL902" s="18"/>
      <c r="CM902" s="18"/>
      <c r="CN902" s="18"/>
      <c r="CO902" s="18"/>
      <c r="CP902" s="221"/>
    </row>
    <row r="903" spans="46:94" x14ac:dyDescent="0.3">
      <c r="AT903" s="44" t="str">
        <f t="shared" si="128"/>
        <v>9_12T.LX.V</v>
      </c>
      <c r="AU903" s="18" t="s">
        <v>71</v>
      </c>
      <c r="AV903" s="18" t="s">
        <v>804</v>
      </c>
      <c r="AW903" s="20" t="s">
        <v>940</v>
      </c>
      <c r="AX903" s="228">
        <v>1220115</v>
      </c>
      <c r="AY903" s="229">
        <v>0</v>
      </c>
      <c r="BA903" s="91"/>
      <c r="CK903" s="160"/>
      <c r="CL903" s="18"/>
      <c r="CM903" s="18"/>
      <c r="CN903" s="18"/>
      <c r="CO903" s="18"/>
      <c r="CP903" s="221"/>
    </row>
    <row r="904" spans="46:94" x14ac:dyDescent="0.3">
      <c r="AT904" s="44" t="str">
        <f t="shared" si="128"/>
        <v>9_13T.LX.V</v>
      </c>
      <c r="AU904" s="18" t="s">
        <v>71</v>
      </c>
      <c r="AV904" s="18" t="s">
        <v>837</v>
      </c>
      <c r="AW904" s="20" t="s">
        <v>940</v>
      </c>
      <c r="AX904" s="228">
        <v>1220115</v>
      </c>
      <c r="AY904" s="229">
        <v>0</v>
      </c>
      <c r="BA904" s="91"/>
      <c r="CK904" s="160"/>
      <c r="CL904" s="18"/>
      <c r="CM904" s="18"/>
      <c r="CN904" s="18"/>
      <c r="CO904" s="18"/>
      <c r="CP904" s="221"/>
    </row>
    <row r="905" spans="46:94" x14ac:dyDescent="0.3">
      <c r="AT905" s="44" t="str">
        <f t="shared" si="128"/>
        <v>9_14T.LX.V</v>
      </c>
      <c r="AU905" s="18" t="s">
        <v>71</v>
      </c>
      <c r="AV905" s="18" t="s">
        <v>874</v>
      </c>
      <c r="AW905" s="20" t="s">
        <v>940</v>
      </c>
      <c r="AX905" s="228">
        <v>1220115</v>
      </c>
      <c r="AY905" s="229">
        <v>0</v>
      </c>
      <c r="BA905" s="91"/>
      <c r="CK905" s="160"/>
      <c r="CL905" s="18"/>
      <c r="CM905" s="18"/>
      <c r="CN905" s="18"/>
      <c r="CO905" s="18"/>
      <c r="CP905" s="221"/>
    </row>
    <row r="906" spans="46:94" x14ac:dyDescent="0.3">
      <c r="AT906" s="44" t="str">
        <f t="shared" si="128"/>
        <v>10_12T.LC.W</v>
      </c>
      <c r="AU906" s="18" t="s">
        <v>79</v>
      </c>
      <c r="AV906" s="18" t="s">
        <v>813</v>
      </c>
      <c r="AW906" s="20" t="s">
        <v>113</v>
      </c>
      <c r="AX906" s="228">
        <v>1220115</v>
      </c>
      <c r="AY906" s="229">
        <v>0</v>
      </c>
      <c r="CK906" s="160"/>
      <c r="CL906" s="18"/>
      <c r="CM906" s="18"/>
      <c r="CN906" s="18"/>
      <c r="CO906" s="18"/>
      <c r="CP906" s="221"/>
    </row>
    <row r="907" spans="46:94" x14ac:dyDescent="0.3">
      <c r="AT907" s="44" t="str">
        <f t="shared" si="128"/>
        <v>10_13T.LC.W</v>
      </c>
      <c r="AU907" s="18" t="s">
        <v>79</v>
      </c>
      <c r="AV907" s="18" t="s">
        <v>848</v>
      </c>
      <c r="AW907" s="20" t="s">
        <v>113</v>
      </c>
      <c r="AX907" s="228">
        <v>1220115</v>
      </c>
      <c r="AY907" s="229">
        <v>0</v>
      </c>
      <c r="CK907" s="160"/>
      <c r="CL907" s="18"/>
      <c r="CM907" s="18"/>
      <c r="CN907" s="18"/>
      <c r="CO907" s="18"/>
      <c r="CP907" s="221"/>
    </row>
    <row r="908" spans="46:94" x14ac:dyDescent="0.3">
      <c r="AT908" s="44" t="str">
        <f t="shared" si="128"/>
        <v>10_14S.LC.W</v>
      </c>
      <c r="AU908" s="18" t="s">
        <v>79</v>
      </c>
      <c r="AV908" s="18" t="s">
        <v>1122</v>
      </c>
      <c r="AW908" s="20" t="s">
        <v>113</v>
      </c>
      <c r="AX908" s="228">
        <v>1220115</v>
      </c>
      <c r="AY908" s="229">
        <v>0</v>
      </c>
      <c r="CK908" s="160"/>
      <c r="CL908" s="18"/>
      <c r="CM908" s="18"/>
      <c r="CN908" s="18"/>
      <c r="CO908" s="18"/>
      <c r="CP908" s="221"/>
    </row>
    <row r="909" spans="46:94" x14ac:dyDescent="0.3">
      <c r="AT909" s="44" t="str">
        <f t="shared" si="128"/>
        <v>10_14T.LC.W</v>
      </c>
      <c r="AU909" s="18" t="s">
        <v>79</v>
      </c>
      <c r="AV909" s="18" t="s">
        <v>887</v>
      </c>
      <c r="AW909" s="20" t="s">
        <v>113</v>
      </c>
      <c r="AX909" s="228">
        <v>1220115</v>
      </c>
      <c r="AY909" s="229">
        <v>0</v>
      </c>
      <c r="CK909" s="160"/>
      <c r="CL909" s="18"/>
      <c r="CM909" s="18"/>
      <c r="CN909" s="18"/>
      <c r="CO909" s="18"/>
      <c r="CP909" s="221"/>
    </row>
    <row r="910" spans="46:94" x14ac:dyDescent="0.3">
      <c r="AT910" s="44" t="str">
        <f t="shared" si="128"/>
        <v>11_12T.LC.W</v>
      </c>
      <c r="AU910" s="18" t="s">
        <v>79</v>
      </c>
      <c r="AV910" s="18" t="s">
        <v>825</v>
      </c>
      <c r="AW910" s="20" t="s">
        <v>113</v>
      </c>
      <c r="AX910" s="228">
        <v>1220115</v>
      </c>
      <c r="AY910" s="229">
        <v>0</v>
      </c>
      <c r="CK910" s="160"/>
      <c r="CL910" s="18"/>
      <c r="CM910" s="18"/>
      <c r="CN910" s="18"/>
      <c r="CO910" s="18"/>
      <c r="CP910" s="221"/>
    </row>
    <row r="911" spans="46:94" x14ac:dyDescent="0.3">
      <c r="AT911" s="44" t="str">
        <f t="shared" si="128"/>
        <v>11_13T.LC.W</v>
      </c>
      <c r="AU911" s="18" t="s">
        <v>79</v>
      </c>
      <c r="AV911" s="18" t="s">
        <v>857</v>
      </c>
      <c r="AW911" s="20" t="s">
        <v>113</v>
      </c>
      <c r="AX911" s="228">
        <v>1220115</v>
      </c>
      <c r="AY911" s="229">
        <v>0</v>
      </c>
      <c r="CK911" s="160"/>
      <c r="CL911" s="18"/>
      <c r="CM911" s="18"/>
      <c r="CN911" s="18"/>
      <c r="CO911" s="18"/>
      <c r="CP911" s="221"/>
    </row>
    <row r="912" spans="46:94" x14ac:dyDescent="0.3">
      <c r="AT912" s="44" t="str">
        <f t="shared" si="128"/>
        <v>11_14T.LC.W</v>
      </c>
      <c r="AU912" s="18" t="s">
        <v>79</v>
      </c>
      <c r="AV912" s="18" t="s">
        <v>900</v>
      </c>
      <c r="AW912" s="20" t="s">
        <v>113</v>
      </c>
      <c r="AX912" s="228">
        <v>1220115</v>
      </c>
      <c r="AY912" s="229">
        <v>0</v>
      </c>
      <c r="CK912" s="160"/>
      <c r="CL912" s="18"/>
      <c r="CM912" s="18"/>
      <c r="CN912" s="18"/>
      <c r="CO912" s="18"/>
      <c r="CP912" s="221"/>
    </row>
    <row r="913" spans="46:94" x14ac:dyDescent="0.3">
      <c r="AT913" s="44" t="str">
        <f t="shared" si="128"/>
        <v>12_13T.LC.W</v>
      </c>
      <c r="AU913" s="18" t="s">
        <v>79</v>
      </c>
      <c r="AV913" s="18" t="s">
        <v>865</v>
      </c>
      <c r="AW913" s="20" t="s">
        <v>113</v>
      </c>
      <c r="AX913" s="228">
        <v>1220115</v>
      </c>
      <c r="AY913" s="229">
        <v>0</v>
      </c>
      <c r="CK913" s="160"/>
      <c r="CL913" s="18"/>
      <c r="CM913" s="18"/>
      <c r="CN913" s="18"/>
      <c r="CO913" s="18"/>
      <c r="CP913" s="221"/>
    </row>
    <row r="914" spans="46:94" x14ac:dyDescent="0.3">
      <c r="AT914" s="44" t="str">
        <f t="shared" si="128"/>
        <v>12_14F.LC.W</v>
      </c>
      <c r="AU914" s="18" t="s">
        <v>79</v>
      </c>
      <c r="AV914" s="18" t="s">
        <v>583</v>
      </c>
      <c r="AW914" s="20" t="s">
        <v>113</v>
      </c>
      <c r="AX914" s="228">
        <v>1220115</v>
      </c>
      <c r="AY914" s="229">
        <v>0</v>
      </c>
      <c r="CK914" s="160"/>
      <c r="CL914" s="18"/>
      <c r="CM914" s="18"/>
      <c r="CN914" s="18"/>
      <c r="CO914" s="18"/>
      <c r="CP914" s="221"/>
    </row>
    <row r="915" spans="46:94" x14ac:dyDescent="0.3">
      <c r="AT915" s="44" t="str">
        <f t="shared" ref="AT915:AT972" si="129">CONCATENATE(AV915,".",AU915,".",AW915)</f>
        <v>12_14T.LC.W</v>
      </c>
      <c r="AU915" s="18" t="s">
        <v>79</v>
      </c>
      <c r="AV915" s="18" t="s">
        <v>913</v>
      </c>
      <c r="AW915" s="20" t="s">
        <v>113</v>
      </c>
      <c r="AX915" s="228">
        <v>1220115</v>
      </c>
      <c r="AY915" s="229">
        <v>0</v>
      </c>
      <c r="CK915" s="160"/>
      <c r="CL915" s="18"/>
      <c r="CM915" s="18"/>
      <c r="CN915" s="18"/>
      <c r="CO915" s="18"/>
      <c r="CP915" s="221"/>
    </row>
    <row r="916" spans="46:94" x14ac:dyDescent="0.3">
      <c r="AT916" s="44" t="str">
        <f t="shared" si="129"/>
        <v>12_15T.LC.W</v>
      </c>
      <c r="AU916" s="18" t="s">
        <v>79</v>
      </c>
      <c r="AV916" s="18" t="s">
        <v>941</v>
      </c>
      <c r="AW916" s="20" t="s">
        <v>113</v>
      </c>
      <c r="AX916" s="228">
        <v>1220115</v>
      </c>
      <c r="AY916" s="229">
        <v>0</v>
      </c>
      <c r="CK916" s="160"/>
      <c r="CL916" s="18"/>
      <c r="CM916" s="18"/>
      <c r="CN916" s="18"/>
      <c r="CO916" s="18"/>
      <c r="CP916" s="221"/>
    </row>
    <row r="917" spans="46:94" x14ac:dyDescent="0.3">
      <c r="AT917" s="44" t="str">
        <f t="shared" si="129"/>
        <v>12_18B.LC.W</v>
      </c>
      <c r="AU917" s="18" t="s">
        <v>79</v>
      </c>
      <c r="AV917" s="18" t="s">
        <v>133</v>
      </c>
      <c r="AW917" s="20" t="s">
        <v>113</v>
      </c>
      <c r="AX917" s="228">
        <v>1220115</v>
      </c>
      <c r="AY917" s="229">
        <v>0</v>
      </c>
      <c r="CK917" s="160"/>
      <c r="CL917" s="18"/>
      <c r="CM917" s="18"/>
      <c r="CN917" s="18"/>
      <c r="CO917" s="18"/>
      <c r="CP917" s="221"/>
    </row>
    <row r="918" spans="46:94" x14ac:dyDescent="0.3">
      <c r="AT918" s="44" t="str">
        <f t="shared" si="129"/>
        <v>12_20B.LC.W</v>
      </c>
      <c r="AU918" s="18" t="s">
        <v>79</v>
      </c>
      <c r="AV918" s="18" t="s">
        <v>217</v>
      </c>
      <c r="AW918" s="20" t="s">
        <v>113</v>
      </c>
      <c r="AX918" s="228">
        <v>1220115</v>
      </c>
      <c r="AY918" s="229">
        <v>0</v>
      </c>
      <c r="CK918" s="160"/>
      <c r="CL918" s="18"/>
      <c r="CM918" s="18"/>
      <c r="CN918" s="18"/>
      <c r="CO918" s="18"/>
      <c r="CP918" s="221"/>
    </row>
    <row r="919" spans="46:94" x14ac:dyDescent="0.3">
      <c r="AT919" s="44" t="str">
        <f t="shared" si="129"/>
        <v>12_22B.LC.W</v>
      </c>
      <c r="AU919" s="18" t="s">
        <v>79</v>
      </c>
      <c r="AV919" s="18" t="s">
        <v>330</v>
      </c>
      <c r="AW919" s="20" t="s">
        <v>113</v>
      </c>
      <c r="AX919" s="228">
        <v>1220115</v>
      </c>
      <c r="AY919" s="229">
        <v>0</v>
      </c>
      <c r="CK919" s="160"/>
      <c r="CL919" s="18"/>
      <c r="CM919" s="18"/>
      <c r="CN919" s="18"/>
      <c r="CO919" s="18"/>
      <c r="CP919" s="221"/>
    </row>
    <row r="920" spans="46:94" x14ac:dyDescent="0.3">
      <c r="AT920" s="44" t="str">
        <f t="shared" si="129"/>
        <v>12_24B.LC.W</v>
      </c>
      <c r="AU920" s="18" t="s">
        <v>79</v>
      </c>
      <c r="AV920" s="18" t="s">
        <v>413</v>
      </c>
      <c r="AW920" s="20" t="s">
        <v>113</v>
      </c>
      <c r="AX920" s="228">
        <v>1220115</v>
      </c>
      <c r="AY920" s="229">
        <v>0</v>
      </c>
      <c r="CK920" s="160"/>
      <c r="CL920" s="18"/>
      <c r="CM920" s="18"/>
      <c r="CN920" s="18"/>
      <c r="CO920" s="18"/>
      <c r="CP920" s="221"/>
    </row>
    <row r="921" spans="46:94" x14ac:dyDescent="0.3">
      <c r="AT921" s="44" t="str">
        <f t="shared" si="129"/>
        <v>12_26B.LC.W</v>
      </c>
      <c r="AU921" s="18" t="s">
        <v>79</v>
      </c>
      <c r="AV921" s="18" t="s">
        <v>494</v>
      </c>
      <c r="AW921" s="20" t="s">
        <v>113</v>
      </c>
      <c r="AX921" s="228">
        <v>1220115</v>
      </c>
      <c r="AY921" s="229">
        <v>0</v>
      </c>
      <c r="CK921" s="160"/>
      <c r="CL921" s="18"/>
      <c r="CM921" s="18"/>
      <c r="CN921" s="18"/>
      <c r="CO921" s="18"/>
      <c r="CP921" s="221"/>
    </row>
    <row r="922" spans="46:94" x14ac:dyDescent="0.3">
      <c r="AT922" s="44" t="str">
        <f t="shared" si="129"/>
        <v>13_14F.LC.W</v>
      </c>
      <c r="AU922" s="18" t="s">
        <v>79</v>
      </c>
      <c r="AV922" s="18" t="s">
        <v>602</v>
      </c>
      <c r="AW922" s="20" t="s">
        <v>113</v>
      </c>
      <c r="AX922" s="228">
        <v>1220115</v>
      </c>
      <c r="AY922" s="229">
        <v>0</v>
      </c>
      <c r="CK922" s="160"/>
      <c r="CL922" s="18"/>
      <c r="CM922" s="18"/>
      <c r="CN922" s="18"/>
      <c r="CO922" s="18"/>
      <c r="CP922" s="221"/>
    </row>
    <row r="923" spans="46:94" x14ac:dyDescent="0.3">
      <c r="AT923" s="44" t="str">
        <f t="shared" si="129"/>
        <v>13_14T.LC.W</v>
      </c>
      <c r="AU923" s="18" t="s">
        <v>79</v>
      </c>
      <c r="AV923" s="18" t="s">
        <v>926</v>
      </c>
      <c r="AW923" s="20" t="s">
        <v>113</v>
      </c>
      <c r="AX923" s="228">
        <v>1220115</v>
      </c>
      <c r="AY923" s="229">
        <v>0</v>
      </c>
      <c r="CK923" s="160"/>
      <c r="CL923" s="18"/>
      <c r="CM923" s="18"/>
      <c r="CN923" s="18"/>
      <c r="CO923" s="18"/>
      <c r="CP923" s="221"/>
    </row>
    <row r="924" spans="46:94" x14ac:dyDescent="0.3">
      <c r="AT924" s="44" t="str">
        <f t="shared" si="129"/>
        <v>13_15F.LC.W</v>
      </c>
      <c r="AU924" s="18" t="s">
        <v>79</v>
      </c>
      <c r="AV924" s="18" t="s">
        <v>630</v>
      </c>
      <c r="AW924" s="20" t="s">
        <v>113</v>
      </c>
      <c r="AX924" s="228">
        <v>1220115</v>
      </c>
      <c r="AY924" s="229">
        <v>0</v>
      </c>
      <c r="CK924" s="160"/>
      <c r="CL924" s="18"/>
      <c r="CM924" s="18"/>
      <c r="CN924" s="18"/>
      <c r="CO924" s="18"/>
      <c r="CP924" s="221"/>
    </row>
    <row r="925" spans="46:94" x14ac:dyDescent="0.3">
      <c r="AT925" s="44" t="str">
        <f t="shared" si="129"/>
        <v>13_15T.LC.W</v>
      </c>
      <c r="AU925" s="18" t="s">
        <v>79</v>
      </c>
      <c r="AV925" s="18" t="s">
        <v>949</v>
      </c>
      <c r="AW925" s="20" t="s">
        <v>113</v>
      </c>
      <c r="AX925" s="228">
        <v>1220115</v>
      </c>
      <c r="AY925" s="229">
        <v>0</v>
      </c>
      <c r="CK925" s="160"/>
      <c r="CL925" s="18"/>
      <c r="CM925" s="18"/>
      <c r="CN925" s="18"/>
      <c r="CO925" s="18"/>
      <c r="CP925" s="221"/>
    </row>
    <row r="926" spans="46:94" x14ac:dyDescent="0.3">
      <c r="AT926" s="44" t="str">
        <f t="shared" si="129"/>
        <v>13_16F.LC.W</v>
      </c>
      <c r="AU926" s="18" t="s">
        <v>79</v>
      </c>
      <c r="AV926" s="18" t="s">
        <v>665</v>
      </c>
      <c r="AW926" s="20" t="s">
        <v>113</v>
      </c>
      <c r="AX926" s="228">
        <v>1220115</v>
      </c>
      <c r="AY926" s="229">
        <v>0</v>
      </c>
      <c r="CK926" s="160"/>
      <c r="CL926" s="18"/>
      <c r="CM926" s="18"/>
      <c r="CN926" s="18"/>
      <c r="CO926" s="18"/>
      <c r="CP926" s="221"/>
    </row>
    <row r="927" spans="46:94" x14ac:dyDescent="0.3">
      <c r="AT927" s="44" t="str">
        <f t="shared" si="129"/>
        <v>13_16T.LC.W</v>
      </c>
      <c r="AU927" s="18" t="s">
        <v>79</v>
      </c>
      <c r="AV927" s="18" t="s">
        <v>963</v>
      </c>
      <c r="AW927" s="20" t="s">
        <v>113</v>
      </c>
      <c r="AX927" s="228">
        <v>1220115</v>
      </c>
      <c r="AY927" s="229">
        <v>0</v>
      </c>
      <c r="CK927" s="160"/>
      <c r="CL927" s="18"/>
      <c r="CM927" s="18"/>
      <c r="CN927" s="18"/>
      <c r="CO927" s="18"/>
      <c r="CP927" s="221"/>
    </row>
    <row r="928" spans="46:94" x14ac:dyDescent="0.3">
      <c r="AT928" s="44" t="str">
        <f t="shared" si="129"/>
        <v>14_14F.LC.W</v>
      </c>
      <c r="AU928" s="18" t="s">
        <v>79</v>
      </c>
      <c r="AV928" s="18" t="s">
        <v>616</v>
      </c>
      <c r="AW928" s="20" t="s">
        <v>113</v>
      </c>
      <c r="AX928" s="228">
        <v>1220115</v>
      </c>
      <c r="AY928" s="229">
        <v>0</v>
      </c>
      <c r="CK928" s="160"/>
      <c r="CL928" s="18"/>
      <c r="CM928" s="18"/>
      <c r="CN928" s="18"/>
      <c r="CO928" s="18"/>
      <c r="CP928" s="221"/>
    </row>
    <row r="929" spans="46:94" x14ac:dyDescent="0.3">
      <c r="AT929" s="44" t="str">
        <f t="shared" si="129"/>
        <v>14_14T.LC.W</v>
      </c>
      <c r="AU929" s="18" t="s">
        <v>79</v>
      </c>
      <c r="AV929" s="18" t="s">
        <v>933</v>
      </c>
      <c r="AW929" s="20" t="s">
        <v>113</v>
      </c>
      <c r="AX929" s="228">
        <v>1220115</v>
      </c>
      <c r="AY929" s="229">
        <v>0</v>
      </c>
      <c r="CK929" s="160"/>
      <c r="CL929" s="18"/>
      <c r="CM929" s="18"/>
      <c r="CN929" s="18"/>
      <c r="CO929" s="18"/>
      <c r="CP929" s="221"/>
    </row>
    <row r="930" spans="46:94" x14ac:dyDescent="0.3">
      <c r="AT930" s="44" t="str">
        <f t="shared" si="129"/>
        <v>14_15F.LC.W</v>
      </c>
      <c r="AU930" s="18" t="s">
        <v>79</v>
      </c>
      <c r="AV930" s="18" t="s">
        <v>647</v>
      </c>
      <c r="AW930" s="20" t="s">
        <v>113</v>
      </c>
      <c r="AX930" s="228">
        <v>1220115</v>
      </c>
      <c r="AY930" s="229">
        <v>0</v>
      </c>
      <c r="CK930" s="160"/>
      <c r="CL930" s="18"/>
      <c r="CM930" s="18"/>
      <c r="CN930" s="18"/>
      <c r="CO930" s="18"/>
      <c r="CP930" s="221"/>
    </row>
    <row r="931" spans="46:94" x14ac:dyDescent="0.3">
      <c r="AT931" s="44" t="str">
        <f t="shared" si="129"/>
        <v>14_15T.LC.W</v>
      </c>
      <c r="AU931" s="18" t="s">
        <v>79</v>
      </c>
      <c r="AV931" s="18" t="s">
        <v>956</v>
      </c>
      <c r="AW931" s="20" t="s">
        <v>113</v>
      </c>
      <c r="AX931" s="228">
        <v>1220115</v>
      </c>
      <c r="AY931" s="229">
        <v>0</v>
      </c>
      <c r="CK931" s="160"/>
      <c r="CL931" s="18"/>
      <c r="CM931" s="18"/>
      <c r="CN931" s="18"/>
      <c r="CO931" s="18"/>
      <c r="CP931" s="221"/>
    </row>
    <row r="932" spans="46:94" x14ac:dyDescent="0.3">
      <c r="AT932" s="44" t="str">
        <f t="shared" si="129"/>
        <v>14_16F.LC.W</v>
      </c>
      <c r="AU932" s="18" t="s">
        <v>79</v>
      </c>
      <c r="AV932" s="18" t="s">
        <v>681</v>
      </c>
      <c r="AW932" s="20" t="s">
        <v>113</v>
      </c>
      <c r="AX932" s="228">
        <v>1220115</v>
      </c>
      <c r="AY932" s="229">
        <v>0</v>
      </c>
      <c r="CK932" s="160"/>
      <c r="CL932" s="18"/>
      <c r="CM932" s="18"/>
      <c r="CN932" s="18"/>
      <c r="CO932" s="18"/>
      <c r="CP932" s="221"/>
    </row>
    <row r="933" spans="46:94" x14ac:dyDescent="0.3">
      <c r="AT933" s="44" t="str">
        <f t="shared" si="129"/>
        <v>14_16T.LC.W</v>
      </c>
      <c r="AU933" s="18" t="s">
        <v>79</v>
      </c>
      <c r="AV933" s="18" t="s">
        <v>970</v>
      </c>
      <c r="AW933" s="20" t="s">
        <v>113</v>
      </c>
      <c r="AX933" s="228">
        <v>1220115</v>
      </c>
      <c r="AY933" s="229">
        <v>0</v>
      </c>
      <c r="CK933" s="160"/>
      <c r="CL933" s="18"/>
      <c r="CM933" s="18"/>
      <c r="CN933" s="18"/>
      <c r="CO933" s="18"/>
      <c r="CP933" s="221"/>
    </row>
    <row r="934" spans="46:94" x14ac:dyDescent="0.3">
      <c r="AT934" s="44" t="str">
        <f t="shared" si="129"/>
        <v>14_18B.LC.W</v>
      </c>
      <c r="AU934" s="18" t="s">
        <v>79</v>
      </c>
      <c r="AV934" s="18" t="s">
        <v>160</v>
      </c>
      <c r="AW934" s="20" t="s">
        <v>113</v>
      </c>
      <c r="AX934" s="228">
        <v>1220115</v>
      </c>
      <c r="AY934" s="229">
        <v>0</v>
      </c>
      <c r="CK934" s="160"/>
      <c r="CL934" s="18"/>
      <c r="CM934" s="18"/>
      <c r="CN934" s="18"/>
      <c r="CO934" s="18"/>
      <c r="CP934" s="221"/>
    </row>
    <row r="935" spans="46:94" x14ac:dyDescent="0.3">
      <c r="AT935" s="44" t="str">
        <f t="shared" si="129"/>
        <v>14_20B.LC.W</v>
      </c>
      <c r="AU935" s="18" t="s">
        <v>79</v>
      </c>
      <c r="AV935" s="18" t="s">
        <v>253</v>
      </c>
      <c r="AW935" s="20" t="s">
        <v>113</v>
      </c>
      <c r="AX935" s="228">
        <v>1220115</v>
      </c>
      <c r="AY935" s="229">
        <v>0</v>
      </c>
      <c r="CK935" s="160"/>
      <c r="CL935" s="18"/>
      <c r="CM935" s="18"/>
      <c r="CN935" s="18"/>
      <c r="CO935" s="18"/>
      <c r="CP935" s="221"/>
    </row>
    <row r="936" spans="46:94" x14ac:dyDescent="0.3">
      <c r="AT936" s="44" t="str">
        <f t="shared" si="129"/>
        <v>14_22B.LC.W</v>
      </c>
      <c r="AU936" s="18" t="s">
        <v>79</v>
      </c>
      <c r="AV936" s="18" t="s">
        <v>346</v>
      </c>
      <c r="AW936" s="20" t="s">
        <v>113</v>
      </c>
      <c r="AX936" s="228">
        <v>1220115</v>
      </c>
      <c r="AY936" s="229">
        <v>0</v>
      </c>
      <c r="CK936" s="160"/>
      <c r="CL936" s="18"/>
      <c r="CM936" s="18"/>
      <c r="CN936" s="18"/>
      <c r="CO936" s="18"/>
      <c r="CP936" s="221"/>
    </row>
    <row r="937" spans="46:94" x14ac:dyDescent="0.3">
      <c r="AT937" s="44" t="str">
        <f t="shared" si="129"/>
        <v>14_24B.LC.W</v>
      </c>
      <c r="AU937" s="18" t="s">
        <v>79</v>
      </c>
      <c r="AV937" s="18" t="s">
        <v>428</v>
      </c>
      <c r="AW937" s="20" t="s">
        <v>113</v>
      </c>
      <c r="AX937" s="228">
        <v>1220115</v>
      </c>
      <c r="AY937" s="229">
        <v>0</v>
      </c>
      <c r="CK937" s="160"/>
      <c r="CL937" s="18"/>
      <c r="CM937" s="18"/>
      <c r="CN937" s="18"/>
      <c r="CO937" s="18"/>
      <c r="CP937" s="221"/>
    </row>
    <row r="938" spans="46:94" x14ac:dyDescent="0.3">
      <c r="AT938" s="44" t="str">
        <f t="shared" si="129"/>
        <v>14_26B.LC.W</v>
      </c>
      <c r="AU938" s="18" t="s">
        <v>79</v>
      </c>
      <c r="AV938" s="18" t="s">
        <v>512</v>
      </c>
      <c r="AW938" s="20" t="s">
        <v>113</v>
      </c>
      <c r="AX938" s="228">
        <v>1220115</v>
      </c>
      <c r="AY938" s="229">
        <v>0</v>
      </c>
      <c r="CK938" s="160"/>
      <c r="CL938" s="18"/>
      <c r="CM938" s="18"/>
      <c r="CN938" s="18"/>
      <c r="CO938" s="18"/>
      <c r="CP938" s="221"/>
    </row>
    <row r="939" spans="46:94" x14ac:dyDescent="0.3">
      <c r="AT939" s="44" t="str">
        <f t="shared" si="129"/>
        <v>15_16F.LC.W</v>
      </c>
      <c r="AU939" s="18" t="s">
        <v>79</v>
      </c>
      <c r="AV939" s="18" t="s">
        <v>698</v>
      </c>
      <c r="AW939" s="20" t="s">
        <v>113</v>
      </c>
      <c r="AX939" s="228">
        <v>1220115</v>
      </c>
      <c r="AY939" s="229">
        <v>0</v>
      </c>
      <c r="CK939" s="160"/>
      <c r="CL939" s="18"/>
      <c r="CM939" s="18"/>
      <c r="CN939" s="18"/>
      <c r="CO939" s="18"/>
      <c r="CP939" s="221"/>
    </row>
    <row r="940" spans="46:94" x14ac:dyDescent="0.3">
      <c r="AT940" s="44" t="str">
        <f t="shared" si="129"/>
        <v>15_16T.LC.W</v>
      </c>
      <c r="AU940" s="18" t="s">
        <v>79</v>
      </c>
      <c r="AV940" s="18" t="s">
        <v>977</v>
      </c>
      <c r="AW940" s="20" t="s">
        <v>113</v>
      </c>
      <c r="AX940" s="228">
        <v>1220115</v>
      </c>
      <c r="AY940" s="229">
        <v>0</v>
      </c>
      <c r="CK940" s="160"/>
      <c r="CL940" s="18"/>
      <c r="CM940" s="18"/>
      <c r="CN940" s="18"/>
      <c r="CO940" s="18"/>
      <c r="CP940" s="221"/>
    </row>
    <row r="941" spans="46:94" x14ac:dyDescent="0.3">
      <c r="AT941" s="44" t="str">
        <f t="shared" si="129"/>
        <v>16_16F.LC.W</v>
      </c>
      <c r="AU941" s="18" t="s">
        <v>79</v>
      </c>
      <c r="AV941" s="18" t="s">
        <v>714</v>
      </c>
      <c r="AW941" s="20" t="s">
        <v>113</v>
      </c>
      <c r="AX941" s="228">
        <v>1220115</v>
      </c>
      <c r="AY941" s="229">
        <v>0</v>
      </c>
      <c r="CK941" s="160"/>
      <c r="CL941" s="18"/>
      <c r="CM941" s="18"/>
      <c r="CN941" s="18"/>
      <c r="CO941" s="18"/>
      <c r="CP941" s="221"/>
    </row>
    <row r="942" spans="46:94" x14ac:dyDescent="0.3">
      <c r="AT942" s="44" t="str">
        <f t="shared" si="129"/>
        <v>16_16T.LC.W</v>
      </c>
      <c r="AU942" s="18" t="s">
        <v>79</v>
      </c>
      <c r="AV942" s="18" t="s">
        <v>985</v>
      </c>
      <c r="AW942" s="20" t="s">
        <v>113</v>
      </c>
      <c r="AX942" s="228">
        <v>1220115</v>
      </c>
      <c r="AY942" s="229">
        <v>0</v>
      </c>
      <c r="CK942" s="160"/>
      <c r="CL942" s="18"/>
      <c r="CM942" s="18"/>
      <c r="CN942" s="18"/>
      <c r="CO942" s="18"/>
      <c r="CP942" s="221"/>
    </row>
    <row r="943" spans="46:94" x14ac:dyDescent="0.3">
      <c r="AT943" s="44" t="str">
        <f t="shared" si="129"/>
        <v>16_18B.LC.W</v>
      </c>
      <c r="AU943" s="18" t="s">
        <v>79</v>
      </c>
      <c r="AV943" s="18" t="s">
        <v>186</v>
      </c>
      <c r="AW943" s="20" t="s">
        <v>113</v>
      </c>
      <c r="AX943" s="228">
        <v>1220115</v>
      </c>
      <c r="AY943" s="229">
        <v>0</v>
      </c>
      <c r="CK943" s="160"/>
      <c r="CL943" s="18"/>
      <c r="CM943" s="18"/>
      <c r="CN943" s="18"/>
      <c r="CO943" s="18"/>
      <c r="CP943" s="221"/>
    </row>
    <row r="944" spans="46:94" x14ac:dyDescent="0.3">
      <c r="AT944" s="44" t="str">
        <f t="shared" si="129"/>
        <v>16_18F.LC.W</v>
      </c>
      <c r="AU944" s="18" t="s">
        <v>79</v>
      </c>
      <c r="AV944" s="18" t="s">
        <v>726</v>
      </c>
      <c r="AW944" s="20" t="s">
        <v>113</v>
      </c>
      <c r="AX944" s="228">
        <v>1220115</v>
      </c>
      <c r="AY944" s="229">
        <v>0</v>
      </c>
      <c r="CK944" s="160"/>
      <c r="CL944" s="18"/>
      <c r="CM944" s="18"/>
      <c r="CN944" s="18"/>
      <c r="CO944" s="18"/>
      <c r="CP944" s="221"/>
    </row>
    <row r="945" spans="46:94" x14ac:dyDescent="0.3">
      <c r="AT945" s="44" t="str">
        <f t="shared" si="129"/>
        <v>16_20B.LC.W</v>
      </c>
      <c r="AU945" s="18" t="s">
        <v>79</v>
      </c>
      <c r="AV945" s="18" t="s">
        <v>293</v>
      </c>
      <c r="AW945" s="20" t="s">
        <v>113</v>
      </c>
      <c r="AX945" s="228">
        <v>1220115</v>
      </c>
      <c r="AY945" s="229">
        <v>0</v>
      </c>
      <c r="CK945" s="160"/>
      <c r="CL945" s="18"/>
      <c r="CM945" s="18"/>
      <c r="CN945" s="18"/>
      <c r="CO945" s="18"/>
      <c r="CP945" s="221"/>
    </row>
    <row r="946" spans="46:94" x14ac:dyDescent="0.3">
      <c r="AT946" s="44" t="str">
        <f t="shared" si="129"/>
        <v>16_22B.LC.W</v>
      </c>
      <c r="AU946" s="18" t="s">
        <v>79</v>
      </c>
      <c r="AV946" s="18" t="s">
        <v>365</v>
      </c>
      <c r="AW946" s="20" t="s">
        <v>113</v>
      </c>
      <c r="AX946" s="228">
        <v>1220115</v>
      </c>
      <c r="AY946" s="229">
        <v>0</v>
      </c>
      <c r="CK946" s="160"/>
      <c r="CL946" s="18"/>
      <c r="CM946" s="18"/>
      <c r="CN946" s="18"/>
      <c r="CO946" s="18"/>
      <c r="CP946" s="221"/>
    </row>
    <row r="947" spans="46:94" x14ac:dyDescent="0.3">
      <c r="AT947" s="44" t="str">
        <f t="shared" si="129"/>
        <v>16_24B.LC.W</v>
      </c>
      <c r="AU947" s="18" t="s">
        <v>79</v>
      </c>
      <c r="AV947" s="18" t="s">
        <v>444</v>
      </c>
      <c r="AW947" s="20" t="s">
        <v>113</v>
      </c>
      <c r="AX947" s="228">
        <v>1220115</v>
      </c>
      <c r="AY947" s="229">
        <v>0</v>
      </c>
      <c r="CK947" s="160"/>
      <c r="CL947" s="18"/>
      <c r="CM947" s="18"/>
      <c r="CN947" s="18"/>
      <c r="CO947" s="18"/>
      <c r="CP947" s="221"/>
    </row>
    <row r="948" spans="46:94" x14ac:dyDescent="0.3">
      <c r="AT948" s="44" t="str">
        <f t="shared" si="129"/>
        <v>16_26B.LC.W</v>
      </c>
      <c r="AU948" s="18" t="s">
        <v>79</v>
      </c>
      <c r="AV948" s="18" t="s">
        <v>532</v>
      </c>
      <c r="AW948" s="20" t="s">
        <v>113</v>
      </c>
      <c r="AX948" s="228">
        <v>1220115</v>
      </c>
      <c r="AY948" s="229">
        <v>0</v>
      </c>
      <c r="CK948" s="160"/>
      <c r="CL948" s="18"/>
      <c r="CM948" s="18"/>
      <c r="CN948" s="18"/>
      <c r="CO948" s="18"/>
      <c r="CP948" s="221"/>
    </row>
    <row r="949" spans="46:94" x14ac:dyDescent="0.3">
      <c r="AT949" s="44" t="str">
        <f t="shared" si="129"/>
        <v>18_20B.LC.W</v>
      </c>
      <c r="AU949" s="18" t="s">
        <v>79</v>
      </c>
      <c r="AV949" s="18" t="s">
        <v>312</v>
      </c>
      <c r="AW949" s="20" t="s">
        <v>113</v>
      </c>
      <c r="AX949" s="228">
        <v>1220115</v>
      </c>
      <c r="AY949" s="229">
        <v>0</v>
      </c>
      <c r="CK949" s="160"/>
      <c r="CL949" s="18"/>
      <c r="CM949" s="18"/>
      <c r="CN949" s="18"/>
      <c r="CO949" s="18"/>
      <c r="CP949" s="221"/>
    </row>
    <row r="950" spans="46:94" x14ac:dyDescent="0.3">
      <c r="AT950" s="44" t="str">
        <f t="shared" si="129"/>
        <v>18_22B.LC.W</v>
      </c>
      <c r="AU950" s="18" t="s">
        <v>79</v>
      </c>
      <c r="AV950" s="18" t="s">
        <v>382</v>
      </c>
      <c r="AW950" s="20" t="s">
        <v>113</v>
      </c>
      <c r="AX950" s="228">
        <v>1220115</v>
      </c>
      <c r="AY950" s="229">
        <v>0</v>
      </c>
      <c r="CK950" s="160"/>
      <c r="CL950" s="18"/>
      <c r="CM950" s="18"/>
      <c r="CN950" s="18"/>
      <c r="CO950" s="18"/>
      <c r="CP950" s="221"/>
    </row>
    <row r="951" spans="46:94" x14ac:dyDescent="0.3">
      <c r="AT951" s="44" t="str">
        <f t="shared" si="129"/>
        <v>18_24B.LC.W</v>
      </c>
      <c r="AU951" s="18" t="s">
        <v>79</v>
      </c>
      <c r="AV951" s="18" t="s">
        <v>461</v>
      </c>
      <c r="AW951" s="20" t="s">
        <v>113</v>
      </c>
      <c r="AX951" s="228">
        <v>1220115</v>
      </c>
      <c r="AY951" s="229">
        <v>0</v>
      </c>
      <c r="CK951" s="160"/>
      <c r="CL951" s="18"/>
      <c r="CM951" s="18"/>
      <c r="CN951" s="18"/>
      <c r="CO951" s="18"/>
      <c r="CP951" s="221"/>
    </row>
    <row r="952" spans="46:94" x14ac:dyDescent="0.3">
      <c r="AT952" s="44" t="str">
        <f t="shared" si="129"/>
        <v>20_20B.LC.W</v>
      </c>
      <c r="AU952" s="18" t="s">
        <v>79</v>
      </c>
      <c r="AV952" s="18" t="s">
        <v>331</v>
      </c>
      <c r="AW952" s="20" t="s">
        <v>113</v>
      </c>
      <c r="AX952" s="228">
        <v>1220115</v>
      </c>
      <c r="AY952" s="229">
        <v>0</v>
      </c>
      <c r="CK952" s="160"/>
      <c r="CL952" s="18"/>
      <c r="CM952" s="18"/>
      <c r="CN952" s="18"/>
      <c r="CO952" s="18"/>
      <c r="CP952" s="221"/>
    </row>
    <row r="953" spans="46:94" x14ac:dyDescent="0.3">
      <c r="AT953" s="44" t="str">
        <f t="shared" si="129"/>
        <v>20_22B.LC.W</v>
      </c>
      <c r="AU953" s="18" t="s">
        <v>79</v>
      </c>
      <c r="AV953" s="18" t="s">
        <v>400</v>
      </c>
      <c r="AW953" s="20" t="s">
        <v>113</v>
      </c>
      <c r="AX953" s="228">
        <v>1220115</v>
      </c>
      <c r="AY953" s="229">
        <v>0</v>
      </c>
      <c r="CK953" s="160"/>
      <c r="CL953" s="18"/>
      <c r="CM953" s="18"/>
      <c r="CN953" s="18"/>
      <c r="CO953" s="18"/>
      <c r="CP953" s="221"/>
    </row>
    <row r="954" spans="46:94" x14ac:dyDescent="0.3">
      <c r="AT954" s="44" t="str">
        <f t="shared" si="129"/>
        <v>20_24B.LC.W</v>
      </c>
      <c r="AU954" s="18" t="s">
        <v>79</v>
      </c>
      <c r="AV954" s="18" t="s">
        <v>479</v>
      </c>
      <c r="AW954" s="20" t="s">
        <v>113</v>
      </c>
      <c r="AX954" s="228">
        <v>1220115</v>
      </c>
      <c r="AY954" s="229">
        <v>0</v>
      </c>
      <c r="CK954" s="160"/>
      <c r="CL954" s="18"/>
      <c r="CM954" s="18"/>
      <c r="CN954" s="18"/>
      <c r="CO954" s="18"/>
      <c r="CP954" s="221"/>
    </row>
    <row r="955" spans="46:94" x14ac:dyDescent="0.3">
      <c r="AT955" s="44" t="str">
        <f t="shared" si="129"/>
        <v>4_14S.LC.W</v>
      </c>
      <c r="AU955" s="18" t="s">
        <v>79</v>
      </c>
      <c r="AV955" s="18" t="s">
        <v>1017</v>
      </c>
      <c r="AW955" s="20" t="s">
        <v>113</v>
      </c>
      <c r="AX955" s="228">
        <v>1220115</v>
      </c>
      <c r="AY955" s="229">
        <v>0</v>
      </c>
      <c r="CK955" s="160"/>
      <c r="CL955" s="18"/>
      <c r="CM955" s="18"/>
      <c r="CN955" s="18"/>
      <c r="CO955" s="18"/>
      <c r="CP955" s="221"/>
    </row>
    <row r="956" spans="46:94" x14ac:dyDescent="0.3">
      <c r="AT956" s="44" t="str">
        <f t="shared" si="129"/>
        <v>4_14x8S.LC.W</v>
      </c>
      <c r="AU956" s="18" t="s">
        <v>79</v>
      </c>
      <c r="AV956" s="18" t="s">
        <v>1049</v>
      </c>
      <c r="AW956" s="20" t="s">
        <v>113</v>
      </c>
      <c r="AX956" s="228">
        <v>1220115</v>
      </c>
      <c r="AY956" s="229">
        <v>0</v>
      </c>
      <c r="CK956" s="160"/>
      <c r="CL956" s="18"/>
      <c r="CM956" s="18"/>
      <c r="CN956" s="18"/>
      <c r="CO956" s="18"/>
      <c r="CP956" s="221"/>
    </row>
    <row r="957" spans="46:94" x14ac:dyDescent="0.3">
      <c r="AT957" s="44" t="str">
        <f t="shared" si="129"/>
        <v>5_14S.LC.W</v>
      </c>
      <c r="AU957" s="18" t="s">
        <v>79</v>
      </c>
      <c r="AV957" s="18" t="s">
        <v>1026</v>
      </c>
      <c r="AW957" s="20" t="s">
        <v>113</v>
      </c>
      <c r="AX957" s="228">
        <v>1220115</v>
      </c>
      <c r="AY957" s="229">
        <v>0</v>
      </c>
      <c r="CK957" s="160"/>
      <c r="CL957" s="18"/>
      <c r="CM957" s="18"/>
      <c r="CN957" s="18"/>
      <c r="CO957" s="18"/>
      <c r="CP957" s="221"/>
    </row>
    <row r="958" spans="46:94" x14ac:dyDescent="0.3">
      <c r="AT958" s="44" t="str">
        <f t="shared" si="129"/>
        <v>5_14x8S.LC.W</v>
      </c>
      <c r="AU958" s="18" t="s">
        <v>79</v>
      </c>
      <c r="AV958" s="18" t="s">
        <v>1059</v>
      </c>
      <c r="AW958" s="20" t="s">
        <v>113</v>
      </c>
      <c r="AX958" s="228">
        <v>1220115</v>
      </c>
      <c r="AY958" s="229">
        <v>0</v>
      </c>
      <c r="CK958" s="160"/>
      <c r="CL958" s="18"/>
      <c r="CM958" s="18"/>
      <c r="CN958" s="18"/>
      <c r="CO958" s="18"/>
      <c r="CP958" s="221"/>
    </row>
    <row r="959" spans="46:94" x14ac:dyDescent="0.3">
      <c r="AT959" s="44" t="str">
        <f t="shared" si="129"/>
        <v>5H_14x8S.LC.W</v>
      </c>
      <c r="AU959" s="18" t="s">
        <v>79</v>
      </c>
      <c r="AV959" s="18" t="s">
        <v>1067</v>
      </c>
      <c r="AW959" s="20" t="s">
        <v>113</v>
      </c>
      <c r="AX959" s="228">
        <v>1220115</v>
      </c>
      <c r="AY959" s="229">
        <v>0</v>
      </c>
      <c r="CK959" s="160"/>
      <c r="CL959" s="18"/>
      <c r="CM959" s="18"/>
      <c r="CN959" s="18"/>
      <c r="CO959" s="18"/>
      <c r="CP959" s="221"/>
    </row>
    <row r="960" spans="46:94" x14ac:dyDescent="0.3">
      <c r="AT960" s="44" t="str">
        <f t="shared" si="129"/>
        <v>6_12S.LC.W</v>
      </c>
      <c r="AU960" s="18" t="s">
        <v>79</v>
      </c>
      <c r="AV960" s="18" t="s">
        <v>995</v>
      </c>
      <c r="AW960" s="20" t="s">
        <v>113</v>
      </c>
      <c r="AX960" s="228">
        <v>1220115</v>
      </c>
      <c r="AY960" s="229">
        <v>0</v>
      </c>
      <c r="CK960" s="160"/>
      <c r="CL960" s="18"/>
      <c r="CM960" s="18"/>
      <c r="CN960" s="18"/>
      <c r="CO960" s="18"/>
      <c r="CP960" s="221"/>
    </row>
    <row r="961" spans="46:94" x14ac:dyDescent="0.3">
      <c r="AT961" s="44" t="str">
        <f t="shared" si="129"/>
        <v>6_13S.LC.W</v>
      </c>
      <c r="AU961" s="18" t="s">
        <v>79</v>
      </c>
      <c r="AV961" s="18" t="s">
        <v>1012</v>
      </c>
      <c r="AW961" s="20" t="s">
        <v>113</v>
      </c>
      <c r="AX961" s="228">
        <v>1220115</v>
      </c>
      <c r="AY961" s="229">
        <v>0</v>
      </c>
      <c r="CK961" s="160"/>
      <c r="CL961" s="18"/>
      <c r="CM961" s="18"/>
      <c r="CN961" s="18"/>
      <c r="CO961" s="18"/>
      <c r="CP961" s="221"/>
    </row>
    <row r="962" spans="46:94" x14ac:dyDescent="0.3">
      <c r="AT962" s="44" t="str">
        <f t="shared" si="129"/>
        <v>6H_14S.LC.W</v>
      </c>
      <c r="AU962" s="18" t="s">
        <v>79</v>
      </c>
      <c r="AV962" s="18" t="s">
        <v>1039</v>
      </c>
      <c r="AW962" s="20" t="s">
        <v>113</v>
      </c>
      <c r="AX962" s="228">
        <v>1220115</v>
      </c>
      <c r="AY962" s="229">
        <v>0</v>
      </c>
      <c r="CK962" s="160"/>
      <c r="CL962" s="18"/>
      <c r="CM962" s="18"/>
      <c r="CN962" s="18"/>
      <c r="CO962" s="18"/>
      <c r="CP962" s="221"/>
    </row>
    <row r="963" spans="46:94" x14ac:dyDescent="0.3">
      <c r="AT963" s="44" t="str">
        <f t="shared" si="129"/>
        <v>6H_14x8S.LC.W</v>
      </c>
      <c r="AU963" s="18" t="s">
        <v>79</v>
      </c>
      <c r="AV963" s="18" t="s">
        <v>1075</v>
      </c>
      <c r="AW963" s="20" t="s">
        <v>113</v>
      </c>
      <c r="AX963" s="228">
        <v>1220115</v>
      </c>
      <c r="AY963" s="229">
        <v>0</v>
      </c>
      <c r="CK963" s="160"/>
      <c r="CL963" s="18"/>
      <c r="CM963" s="18"/>
      <c r="CN963" s="18"/>
      <c r="CO963" s="18"/>
      <c r="CP963" s="221"/>
    </row>
    <row r="964" spans="46:94" x14ac:dyDescent="0.3">
      <c r="AT964" s="44" t="str">
        <f t="shared" si="129"/>
        <v>7_10T.LC.W</v>
      </c>
      <c r="AU964" s="18" t="s">
        <v>79</v>
      </c>
      <c r="AV964" s="18" t="s">
        <v>763</v>
      </c>
      <c r="AW964" s="20" t="s">
        <v>113</v>
      </c>
      <c r="AX964" s="228">
        <v>1220115</v>
      </c>
      <c r="AY964" s="229">
        <v>0</v>
      </c>
      <c r="CK964" s="160"/>
      <c r="CL964" s="18"/>
      <c r="CM964" s="18"/>
      <c r="CN964" s="18"/>
      <c r="CO964" s="18"/>
      <c r="CP964" s="221"/>
    </row>
    <row r="965" spans="46:94" x14ac:dyDescent="0.3">
      <c r="AT965" s="44" t="str">
        <f t="shared" si="129"/>
        <v>7H_10T.LC.W</v>
      </c>
      <c r="AU965" s="18" t="s">
        <v>79</v>
      </c>
      <c r="AV965" s="18" t="s">
        <v>769</v>
      </c>
      <c r="AW965" s="20" t="s">
        <v>113</v>
      </c>
      <c r="AX965" s="228">
        <v>1220115</v>
      </c>
      <c r="AY965" s="229">
        <v>0</v>
      </c>
      <c r="CK965" s="160"/>
      <c r="CL965" s="18"/>
      <c r="CM965" s="18"/>
      <c r="CN965" s="18"/>
      <c r="CO965" s="18"/>
      <c r="CP965" s="221"/>
    </row>
    <row r="966" spans="46:94" x14ac:dyDescent="0.3">
      <c r="AT966" s="44" t="str">
        <f t="shared" si="129"/>
        <v>8_10T.LC.W</v>
      </c>
      <c r="AU966" s="18" t="s">
        <v>79</v>
      </c>
      <c r="AV966" s="18" t="s">
        <v>776</v>
      </c>
      <c r="AW966" s="20" t="s">
        <v>113</v>
      </c>
      <c r="AX966" s="228">
        <v>1220115</v>
      </c>
      <c r="AY966" s="229">
        <v>0</v>
      </c>
      <c r="CK966" s="160"/>
      <c r="CL966" s="18"/>
      <c r="CM966" s="18"/>
      <c r="CN966" s="18"/>
      <c r="CO966" s="18"/>
      <c r="CP966" s="221"/>
    </row>
    <row r="967" spans="46:94" x14ac:dyDescent="0.3">
      <c r="AT967" s="44" t="str">
        <f t="shared" si="129"/>
        <v>8_12T.LC.W</v>
      </c>
      <c r="AU967" s="18" t="s">
        <v>79</v>
      </c>
      <c r="AV967" s="18" t="s">
        <v>791</v>
      </c>
      <c r="AW967" s="20" t="s">
        <v>113</v>
      </c>
      <c r="AX967" s="228">
        <v>1220115</v>
      </c>
      <c r="AY967" s="229">
        <v>0</v>
      </c>
      <c r="CK967" s="160"/>
      <c r="CL967" s="18"/>
      <c r="CM967" s="18"/>
      <c r="CN967" s="18"/>
      <c r="CO967" s="18"/>
      <c r="CP967" s="221"/>
    </row>
    <row r="968" spans="46:94" x14ac:dyDescent="0.3">
      <c r="AT968" s="44" t="str">
        <f t="shared" si="129"/>
        <v>8_14S.LC.W</v>
      </c>
      <c r="AU968" s="18" t="s">
        <v>79</v>
      </c>
      <c r="AV968" s="18" t="s">
        <v>1046</v>
      </c>
      <c r="AW968" s="20" t="s">
        <v>113</v>
      </c>
      <c r="AX968" s="228">
        <v>1220115</v>
      </c>
      <c r="AY968" s="229">
        <v>0</v>
      </c>
      <c r="CK968" s="160"/>
      <c r="CL968" s="18"/>
      <c r="CM968" s="18"/>
      <c r="CN968" s="18"/>
      <c r="CO968" s="18"/>
      <c r="CP968" s="221"/>
    </row>
    <row r="969" spans="46:94" x14ac:dyDescent="0.3">
      <c r="AT969" s="44" t="str">
        <f t="shared" si="129"/>
        <v>9_10T.LC.W</v>
      </c>
      <c r="AU969" s="18" t="s">
        <v>79</v>
      </c>
      <c r="AV969" s="18" t="s">
        <v>783</v>
      </c>
      <c r="AW969" s="20" t="s">
        <v>113</v>
      </c>
      <c r="AX969" s="228">
        <v>1220115</v>
      </c>
      <c r="AY969" s="229">
        <v>0</v>
      </c>
      <c r="CK969" s="160"/>
      <c r="CL969" s="18"/>
      <c r="CM969" s="18"/>
      <c r="CN969" s="18"/>
      <c r="CO969" s="18"/>
      <c r="CP969" s="221"/>
    </row>
    <row r="970" spans="46:94" x14ac:dyDescent="0.3">
      <c r="AT970" s="44" t="str">
        <f t="shared" si="129"/>
        <v>9_12T.LC.W</v>
      </c>
      <c r="AU970" s="18" t="s">
        <v>79</v>
      </c>
      <c r="AV970" s="18" t="s">
        <v>804</v>
      </c>
      <c r="AW970" s="20" t="s">
        <v>113</v>
      </c>
      <c r="AX970" s="228">
        <v>1220115</v>
      </c>
      <c r="AY970" s="229">
        <v>0</v>
      </c>
      <c r="CK970" s="160"/>
      <c r="CL970" s="18"/>
      <c r="CM970" s="18"/>
      <c r="CN970" s="18"/>
      <c r="CO970" s="18"/>
      <c r="CP970" s="221"/>
    </row>
    <row r="971" spans="46:94" x14ac:dyDescent="0.3">
      <c r="AT971" s="44" t="str">
        <f t="shared" si="129"/>
        <v>9_13T.LC.W</v>
      </c>
      <c r="AU971" s="18" t="s">
        <v>79</v>
      </c>
      <c r="AV971" s="18" t="s">
        <v>837</v>
      </c>
      <c r="AW971" s="20" t="s">
        <v>113</v>
      </c>
      <c r="AX971" s="228">
        <v>1220115</v>
      </c>
      <c r="AY971" s="229">
        <v>0</v>
      </c>
      <c r="CK971" s="160"/>
      <c r="CL971" s="18"/>
      <c r="CM971" s="18"/>
      <c r="CN971" s="18"/>
      <c r="CO971" s="18"/>
      <c r="CP971" s="221"/>
    </row>
    <row r="972" spans="46:94" x14ac:dyDescent="0.3">
      <c r="AT972" s="44" t="str">
        <f t="shared" si="129"/>
        <v>9_14T.LC.W</v>
      </c>
      <c r="AU972" s="18" t="s">
        <v>79</v>
      </c>
      <c r="AV972" s="18" t="s">
        <v>874</v>
      </c>
      <c r="AW972" s="20" t="s">
        <v>113</v>
      </c>
      <c r="AX972" s="228">
        <v>1220115</v>
      </c>
      <c r="AY972" s="229">
        <v>0</v>
      </c>
      <c r="CK972" s="160"/>
      <c r="CL972" s="18"/>
      <c r="CM972" s="18"/>
      <c r="CN972" s="18"/>
      <c r="CO972" s="18"/>
      <c r="CP972" s="221"/>
    </row>
    <row r="973" spans="46:94" x14ac:dyDescent="0.3">
      <c r="AT973" s="16"/>
      <c r="CK973" s="160"/>
      <c r="CL973" s="18"/>
      <c r="CM973" s="18"/>
      <c r="CN973" s="18"/>
      <c r="CO973" s="18"/>
      <c r="CP973" s="221"/>
    </row>
    <row r="974" spans="46:94" x14ac:dyDescent="0.3">
      <c r="CK974" s="160"/>
      <c r="CL974" s="18"/>
      <c r="CM974" s="18"/>
      <c r="CN974" s="18"/>
      <c r="CO974" s="18"/>
      <c r="CP974" s="221"/>
    </row>
    <row r="975" spans="46:94" x14ac:dyDescent="0.3">
      <c r="CK975" s="160"/>
      <c r="CL975" s="18"/>
      <c r="CM975" s="18"/>
      <c r="CN975" s="18"/>
      <c r="CO975" s="18"/>
      <c r="CP975" s="221"/>
    </row>
    <row r="976" spans="46:94" x14ac:dyDescent="0.3">
      <c r="CK976" s="160"/>
      <c r="CL976" s="18"/>
      <c r="CM976" s="18"/>
      <c r="CN976" s="18"/>
      <c r="CO976" s="18"/>
      <c r="CP976" s="221"/>
    </row>
    <row r="977" spans="89:94" x14ac:dyDescent="0.3">
      <c r="CK977" s="160"/>
      <c r="CL977" s="18"/>
      <c r="CM977" s="18"/>
      <c r="CN977" s="18"/>
      <c r="CO977" s="18"/>
      <c r="CP977" s="221"/>
    </row>
    <row r="978" spans="89:94" x14ac:dyDescent="0.3">
      <c r="CK978" s="160"/>
      <c r="CL978" s="18"/>
      <c r="CM978" s="18"/>
      <c r="CN978" s="18"/>
      <c r="CO978" s="18"/>
      <c r="CP978" s="221"/>
    </row>
    <row r="979" spans="89:94" x14ac:dyDescent="0.3">
      <c r="CK979" s="160"/>
      <c r="CL979" s="18"/>
      <c r="CM979" s="18"/>
      <c r="CN979" s="18"/>
      <c r="CO979" s="18"/>
      <c r="CP979" s="221"/>
    </row>
    <row r="980" spans="89:94" x14ac:dyDescent="0.3">
      <c r="CK980" s="160"/>
      <c r="CL980" s="18"/>
      <c r="CM980" s="18"/>
      <c r="CN980" s="18"/>
      <c r="CO980" s="18"/>
      <c r="CP980" s="221"/>
    </row>
    <row r="981" spans="89:94" x14ac:dyDescent="0.3">
      <c r="CK981" s="160"/>
      <c r="CL981" s="18"/>
      <c r="CM981" s="18"/>
      <c r="CN981" s="18"/>
      <c r="CO981" s="18"/>
      <c r="CP981" s="221"/>
    </row>
    <row r="982" spans="89:94" x14ac:dyDescent="0.3">
      <c r="CK982" s="160"/>
      <c r="CL982" s="18"/>
      <c r="CM982" s="18"/>
      <c r="CN982" s="18"/>
      <c r="CO982" s="18"/>
      <c r="CP982" s="221"/>
    </row>
    <row r="983" spans="89:94" x14ac:dyDescent="0.3">
      <c r="CK983" s="160"/>
      <c r="CL983" s="18"/>
      <c r="CM983" s="18"/>
      <c r="CN983" s="18"/>
      <c r="CO983" s="18"/>
      <c r="CP983" s="221"/>
    </row>
    <row r="984" spans="89:94" x14ac:dyDescent="0.3">
      <c r="CK984" s="160"/>
      <c r="CL984" s="18"/>
      <c r="CM984" s="18"/>
      <c r="CN984" s="18"/>
      <c r="CO984" s="18"/>
      <c r="CP984" s="221"/>
    </row>
    <row r="985" spans="89:94" x14ac:dyDescent="0.3">
      <c r="CK985" s="160"/>
      <c r="CL985" s="18"/>
      <c r="CM985" s="18"/>
      <c r="CN985" s="18"/>
      <c r="CO985" s="18"/>
      <c r="CP985" s="221"/>
    </row>
    <row r="986" spans="89:94" x14ac:dyDescent="0.3">
      <c r="CK986" s="160"/>
      <c r="CL986" s="18"/>
      <c r="CM986" s="18"/>
      <c r="CN986" s="18"/>
      <c r="CO986" s="18"/>
      <c r="CP986" s="221"/>
    </row>
    <row r="987" spans="89:94" x14ac:dyDescent="0.3">
      <c r="CK987" s="160"/>
      <c r="CL987" s="18"/>
      <c r="CM987" s="18"/>
      <c r="CN987" s="18"/>
      <c r="CO987" s="18"/>
      <c r="CP987" s="221"/>
    </row>
    <row r="988" spans="89:94" x14ac:dyDescent="0.3">
      <c r="CK988" s="160"/>
      <c r="CL988" s="18"/>
      <c r="CM988" s="18"/>
      <c r="CN988" s="18"/>
      <c r="CO988" s="18"/>
      <c r="CP988" s="221"/>
    </row>
    <row r="989" spans="89:94" x14ac:dyDescent="0.3">
      <c r="CK989" s="160"/>
      <c r="CL989" s="18"/>
      <c r="CM989" s="18"/>
      <c r="CN989" s="18"/>
      <c r="CO989" s="18"/>
      <c r="CP989" s="221"/>
    </row>
    <row r="990" spans="89:94" x14ac:dyDescent="0.3">
      <c r="CK990" s="160"/>
      <c r="CL990" s="18"/>
      <c r="CM990" s="18"/>
      <c r="CN990" s="18"/>
      <c r="CO990" s="18"/>
      <c r="CP990" s="221"/>
    </row>
    <row r="991" spans="89:94" x14ac:dyDescent="0.3">
      <c r="CK991" s="160"/>
      <c r="CL991" s="18"/>
      <c r="CM991" s="18"/>
      <c r="CN991" s="20"/>
      <c r="CO991" s="18"/>
      <c r="CP991" s="219"/>
    </row>
    <row r="992" spans="89:94" x14ac:dyDescent="0.3">
      <c r="CK992" s="160"/>
      <c r="CL992" s="18"/>
      <c r="CM992" s="18"/>
      <c r="CN992" s="18"/>
      <c r="CO992" s="18"/>
      <c r="CP992" s="219"/>
    </row>
    <row r="993" spans="89:94" x14ac:dyDescent="0.3">
      <c r="CK993" s="160"/>
      <c r="CL993" s="18"/>
      <c r="CM993" s="18"/>
      <c r="CN993" s="18"/>
      <c r="CO993" s="18"/>
      <c r="CP993" s="219"/>
    </row>
    <row r="994" spans="89:94" x14ac:dyDescent="0.3">
      <c r="CK994" s="160"/>
      <c r="CL994" s="18"/>
      <c r="CM994" s="18"/>
      <c r="CN994" s="18"/>
      <c r="CO994" s="18"/>
      <c r="CP994" s="219"/>
    </row>
    <row r="995" spans="89:94" x14ac:dyDescent="0.3">
      <c r="CK995" s="160"/>
      <c r="CL995" s="18"/>
      <c r="CM995" s="18"/>
      <c r="CN995" s="18"/>
      <c r="CO995" s="18"/>
      <c r="CP995" s="219"/>
    </row>
    <row r="996" spans="89:94" x14ac:dyDescent="0.3">
      <c r="CK996" s="160"/>
      <c r="CL996" s="18"/>
      <c r="CM996" s="18"/>
      <c r="CN996" s="18"/>
      <c r="CO996" s="18"/>
      <c r="CP996" s="219"/>
    </row>
    <row r="997" spans="89:94" x14ac:dyDescent="0.3">
      <c r="CK997" s="160"/>
      <c r="CL997" s="18"/>
      <c r="CM997" s="18"/>
      <c r="CN997" s="18"/>
      <c r="CO997" s="18"/>
      <c r="CP997" s="219"/>
    </row>
    <row r="998" spans="89:94" x14ac:dyDescent="0.3">
      <c r="CK998" s="160"/>
      <c r="CL998" s="18"/>
      <c r="CM998" s="18"/>
      <c r="CN998" s="18"/>
      <c r="CO998" s="18"/>
      <c r="CP998" s="219"/>
    </row>
    <row r="999" spans="89:94" x14ac:dyDescent="0.3">
      <c r="CK999" s="160"/>
      <c r="CL999" s="18"/>
      <c r="CM999" s="18"/>
      <c r="CN999" s="18"/>
      <c r="CO999" s="18"/>
      <c r="CP999" s="219"/>
    </row>
    <row r="1000" spans="89:94" x14ac:dyDescent="0.3">
      <c r="CK1000" s="160"/>
      <c r="CL1000" s="18"/>
      <c r="CM1000" s="18"/>
      <c r="CN1000" s="18"/>
      <c r="CO1000" s="18"/>
      <c r="CP1000" s="219"/>
    </row>
    <row r="1001" spans="89:94" x14ac:dyDescent="0.3">
      <c r="CK1001" s="160"/>
      <c r="CL1001" s="18"/>
      <c r="CM1001" s="18"/>
      <c r="CN1001" s="18"/>
      <c r="CO1001" s="18"/>
      <c r="CP1001" s="219"/>
    </row>
    <row r="1002" spans="89:94" x14ac:dyDescent="0.3">
      <c r="CK1002" s="160"/>
      <c r="CL1002" s="18"/>
      <c r="CM1002" s="18"/>
      <c r="CN1002" s="18"/>
      <c r="CO1002" s="18"/>
      <c r="CP1002" s="219"/>
    </row>
    <row r="1003" spans="89:94" x14ac:dyDescent="0.3">
      <c r="CK1003" s="160"/>
      <c r="CL1003" s="18"/>
      <c r="CM1003" s="18"/>
      <c r="CN1003" s="18"/>
      <c r="CO1003" s="18"/>
      <c r="CP1003" s="219"/>
    </row>
    <row r="1004" spans="89:94" x14ac:dyDescent="0.3">
      <c r="CK1004" s="160"/>
      <c r="CL1004" s="18"/>
      <c r="CM1004" s="18"/>
      <c r="CN1004" s="18"/>
      <c r="CO1004" s="18"/>
      <c r="CP1004" s="219"/>
    </row>
    <row r="1005" spans="89:94" x14ac:dyDescent="0.3">
      <c r="CK1005" s="160"/>
      <c r="CL1005" s="18"/>
      <c r="CM1005" s="18"/>
      <c r="CN1005" s="18"/>
      <c r="CO1005" s="18"/>
      <c r="CP1005" s="219"/>
    </row>
    <row r="1006" spans="89:94" x14ac:dyDescent="0.3">
      <c r="CK1006" s="160"/>
      <c r="CL1006" s="18"/>
      <c r="CM1006" s="18"/>
      <c r="CN1006" s="18"/>
      <c r="CO1006" s="18"/>
      <c r="CP1006" s="219"/>
    </row>
    <row r="1007" spans="89:94" x14ac:dyDescent="0.3">
      <c r="CK1007" s="160"/>
      <c r="CL1007" s="18"/>
      <c r="CM1007" s="18"/>
      <c r="CN1007" s="18"/>
      <c r="CO1007" s="18"/>
      <c r="CP1007" s="219"/>
    </row>
    <row r="1008" spans="89:94" x14ac:dyDescent="0.3">
      <c r="CK1008" s="160"/>
      <c r="CL1008" s="18"/>
      <c r="CM1008" s="18"/>
      <c r="CN1008" s="18"/>
      <c r="CO1008" s="18"/>
      <c r="CP1008" s="219"/>
    </row>
    <row r="1009" spans="89:94" x14ac:dyDescent="0.3">
      <c r="CK1009" s="160"/>
      <c r="CL1009" s="18"/>
      <c r="CM1009" s="18"/>
      <c r="CN1009" s="18"/>
      <c r="CO1009" s="18"/>
      <c r="CP1009" s="219"/>
    </row>
    <row r="1010" spans="89:94" x14ac:dyDescent="0.3">
      <c r="CK1010" s="160"/>
      <c r="CL1010" s="18"/>
      <c r="CM1010" s="18"/>
      <c r="CN1010" s="18"/>
      <c r="CO1010" s="18"/>
      <c r="CP1010" s="219"/>
    </row>
    <row r="1011" spans="89:94" x14ac:dyDescent="0.3">
      <c r="CK1011" s="160"/>
      <c r="CL1011" s="18"/>
      <c r="CM1011" s="18"/>
      <c r="CN1011" s="18"/>
      <c r="CO1011" s="18"/>
      <c r="CP1011" s="219"/>
    </row>
    <row r="1012" spans="89:94" x14ac:dyDescent="0.3">
      <c r="CK1012" s="160"/>
      <c r="CL1012" s="18"/>
      <c r="CM1012" s="18"/>
      <c r="CN1012" s="18"/>
      <c r="CO1012" s="18"/>
      <c r="CP1012" s="219"/>
    </row>
    <row r="1013" spans="89:94" x14ac:dyDescent="0.3">
      <c r="CK1013" s="160"/>
      <c r="CL1013" s="18"/>
      <c r="CM1013" s="18"/>
      <c r="CN1013" s="18"/>
      <c r="CO1013" s="18"/>
      <c r="CP1013" s="219"/>
    </row>
    <row r="1014" spans="89:94" x14ac:dyDescent="0.3">
      <c r="CK1014" s="160"/>
      <c r="CL1014" s="18"/>
      <c r="CM1014" s="18"/>
      <c r="CN1014" s="18"/>
      <c r="CO1014" s="18"/>
      <c r="CP1014" s="219"/>
    </row>
    <row r="1015" spans="89:94" x14ac:dyDescent="0.3">
      <c r="CK1015" s="160"/>
      <c r="CL1015" s="18"/>
      <c r="CM1015" s="18"/>
      <c r="CN1015" s="18"/>
      <c r="CO1015" s="18"/>
      <c r="CP1015" s="219"/>
    </row>
    <row r="1016" spans="89:94" x14ac:dyDescent="0.3">
      <c r="CK1016" s="160"/>
      <c r="CL1016" s="18"/>
      <c r="CM1016" s="18"/>
      <c r="CN1016" s="18"/>
      <c r="CO1016" s="18"/>
      <c r="CP1016" s="219"/>
    </row>
    <row r="1017" spans="89:94" x14ac:dyDescent="0.3">
      <c r="CK1017" s="160"/>
      <c r="CL1017" s="18"/>
      <c r="CM1017" s="18"/>
      <c r="CN1017" s="18"/>
      <c r="CO1017" s="18"/>
      <c r="CP1017" s="219"/>
    </row>
    <row r="1018" spans="89:94" x14ac:dyDescent="0.3">
      <c r="CK1018" s="160"/>
      <c r="CL1018" s="18"/>
      <c r="CM1018" s="18"/>
      <c r="CN1018" s="18"/>
      <c r="CO1018" s="18"/>
      <c r="CP1018" s="219"/>
    </row>
    <row r="1019" spans="89:94" x14ac:dyDescent="0.3">
      <c r="CK1019" s="160"/>
      <c r="CL1019" s="18"/>
      <c r="CM1019" s="18"/>
      <c r="CN1019" s="18"/>
      <c r="CO1019" s="18"/>
      <c r="CP1019" s="219"/>
    </row>
    <row r="1020" spans="89:94" x14ac:dyDescent="0.3">
      <c r="CK1020" s="160"/>
      <c r="CL1020" s="18"/>
      <c r="CM1020" s="18"/>
      <c r="CN1020" s="18"/>
      <c r="CO1020" s="18"/>
      <c r="CP1020" s="219"/>
    </row>
    <row r="1021" spans="89:94" x14ac:dyDescent="0.3">
      <c r="CK1021" s="160"/>
      <c r="CL1021" s="18"/>
      <c r="CM1021" s="18"/>
      <c r="CN1021" s="18"/>
      <c r="CO1021" s="18"/>
      <c r="CP1021" s="219"/>
    </row>
    <row r="1022" spans="89:94" x14ac:dyDescent="0.3">
      <c r="CK1022" s="160"/>
      <c r="CL1022" s="18"/>
      <c r="CM1022" s="18"/>
      <c r="CN1022" s="18"/>
      <c r="CO1022" s="18"/>
      <c r="CP1022" s="219"/>
    </row>
    <row r="1023" spans="89:94" x14ac:dyDescent="0.3">
      <c r="CK1023" s="160"/>
      <c r="CL1023" s="18"/>
      <c r="CM1023" s="18"/>
      <c r="CN1023" s="18"/>
      <c r="CO1023" s="18"/>
      <c r="CP1023" s="219"/>
    </row>
    <row r="1024" spans="89:94" x14ac:dyDescent="0.3">
      <c r="CK1024" s="160"/>
      <c r="CL1024" s="18"/>
      <c r="CM1024" s="18"/>
      <c r="CN1024" s="18"/>
      <c r="CO1024" s="18"/>
      <c r="CP1024" s="219"/>
    </row>
    <row r="1025" spans="89:94" x14ac:dyDescent="0.3">
      <c r="CK1025" s="160"/>
      <c r="CL1025" s="18"/>
      <c r="CM1025" s="18"/>
      <c r="CN1025" s="18"/>
      <c r="CO1025" s="18"/>
      <c r="CP1025" s="219"/>
    </row>
    <row r="1026" spans="89:94" x14ac:dyDescent="0.3">
      <c r="CK1026" s="160"/>
      <c r="CL1026" s="18"/>
      <c r="CM1026" s="18"/>
      <c r="CN1026" s="18"/>
      <c r="CO1026" s="18"/>
      <c r="CP1026" s="219"/>
    </row>
    <row r="1027" spans="89:94" x14ac:dyDescent="0.3">
      <c r="CK1027" s="160"/>
      <c r="CL1027" s="18"/>
      <c r="CM1027" s="18"/>
      <c r="CN1027" s="18"/>
      <c r="CO1027" s="18"/>
      <c r="CP1027" s="219"/>
    </row>
    <row r="1028" spans="89:94" x14ac:dyDescent="0.3">
      <c r="CK1028" s="160"/>
      <c r="CL1028" s="18"/>
      <c r="CM1028" s="18"/>
      <c r="CN1028" s="18"/>
      <c r="CO1028" s="18"/>
      <c r="CP1028" s="219"/>
    </row>
    <row r="1029" spans="89:94" x14ac:dyDescent="0.3">
      <c r="CK1029" s="160"/>
      <c r="CL1029" s="18"/>
      <c r="CM1029" s="18"/>
      <c r="CN1029" s="18"/>
      <c r="CO1029" s="18"/>
      <c r="CP1029" s="219"/>
    </row>
    <row r="1030" spans="89:94" x14ac:dyDescent="0.3">
      <c r="CK1030" s="160"/>
      <c r="CL1030" s="18"/>
      <c r="CM1030" s="18"/>
      <c r="CN1030" s="18"/>
      <c r="CO1030" s="18"/>
      <c r="CP1030" s="219"/>
    </row>
    <row r="1031" spans="89:94" x14ac:dyDescent="0.3">
      <c r="CK1031" s="160"/>
      <c r="CL1031" s="18"/>
      <c r="CM1031" s="18"/>
      <c r="CN1031" s="18"/>
      <c r="CO1031" s="18"/>
      <c r="CP1031" s="219"/>
    </row>
    <row r="1032" spans="89:94" x14ac:dyDescent="0.3">
      <c r="CK1032" s="160"/>
      <c r="CL1032" s="18"/>
      <c r="CM1032" s="18"/>
      <c r="CN1032" s="18"/>
      <c r="CO1032" s="18"/>
      <c r="CP1032" s="219"/>
    </row>
    <row r="1033" spans="89:94" x14ac:dyDescent="0.3">
      <c r="CK1033" s="160"/>
      <c r="CL1033" s="18"/>
      <c r="CM1033" s="18"/>
      <c r="CN1033" s="18"/>
      <c r="CO1033" s="18"/>
      <c r="CP1033" s="219"/>
    </row>
    <row r="1034" spans="89:94" x14ac:dyDescent="0.3">
      <c r="CK1034" s="160"/>
      <c r="CL1034" s="18"/>
      <c r="CM1034" s="18"/>
      <c r="CN1034" s="18"/>
      <c r="CO1034" s="18"/>
      <c r="CP1034" s="219"/>
    </row>
    <row r="1035" spans="89:94" x14ac:dyDescent="0.3">
      <c r="CK1035" s="160"/>
      <c r="CL1035" s="18"/>
      <c r="CM1035" s="18"/>
      <c r="CN1035" s="18"/>
      <c r="CO1035" s="18"/>
      <c r="CP1035" s="219"/>
    </row>
    <row r="1036" spans="89:94" x14ac:dyDescent="0.3">
      <c r="CK1036" s="160"/>
      <c r="CL1036" s="18"/>
      <c r="CM1036" s="18"/>
      <c r="CN1036" s="18"/>
      <c r="CO1036" s="18"/>
      <c r="CP1036" s="219"/>
    </row>
    <row r="1037" spans="89:94" x14ac:dyDescent="0.3">
      <c r="CK1037" s="160"/>
      <c r="CL1037" s="18"/>
      <c r="CM1037" s="18"/>
      <c r="CN1037" s="18"/>
      <c r="CO1037" s="18"/>
      <c r="CP1037" s="219"/>
    </row>
    <row r="1038" spans="89:94" x14ac:dyDescent="0.3">
      <c r="CK1038" s="160"/>
      <c r="CL1038" s="18"/>
      <c r="CM1038" s="18"/>
      <c r="CN1038" s="18"/>
      <c r="CO1038" s="18"/>
      <c r="CP1038" s="219"/>
    </row>
    <row r="1039" spans="89:94" x14ac:dyDescent="0.3">
      <c r="CK1039" s="160"/>
      <c r="CL1039" s="18"/>
      <c r="CM1039" s="18"/>
      <c r="CN1039" s="18"/>
      <c r="CO1039" s="18"/>
      <c r="CP1039" s="219"/>
    </row>
    <row r="1040" spans="89:94" x14ac:dyDescent="0.3">
      <c r="CK1040" s="160"/>
      <c r="CL1040" s="18"/>
      <c r="CM1040" s="18"/>
      <c r="CN1040" s="18"/>
      <c r="CO1040" s="18"/>
      <c r="CP1040" s="219"/>
    </row>
    <row r="1041" spans="89:94" x14ac:dyDescent="0.3">
      <c r="CK1041" s="160"/>
      <c r="CL1041" s="18"/>
      <c r="CM1041" s="18"/>
      <c r="CN1041" s="18"/>
      <c r="CO1041" s="18"/>
      <c r="CP1041" s="219"/>
    </row>
    <row r="1042" spans="89:94" x14ac:dyDescent="0.3">
      <c r="CK1042" s="160"/>
      <c r="CL1042" s="18"/>
      <c r="CM1042" s="18"/>
      <c r="CN1042" s="18"/>
      <c r="CO1042" s="18"/>
      <c r="CP1042" s="219"/>
    </row>
    <row r="1043" spans="89:94" x14ac:dyDescent="0.3">
      <c r="CK1043" s="160"/>
      <c r="CL1043" s="18"/>
      <c r="CM1043" s="18"/>
      <c r="CN1043" s="18"/>
      <c r="CO1043" s="18"/>
      <c r="CP1043" s="219"/>
    </row>
    <row r="1044" spans="89:94" x14ac:dyDescent="0.3">
      <c r="CK1044" s="160"/>
      <c r="CL1044" s="18"/>
      <c r="CM1044" s="18"/>
      <c r="CN1044" s="18"/>
      <c r="CO1044" s="18"/>
      <c r="CP1044" s="219"/>
    </row>
    <row r="1045" spans="89:94" x14ac:dyDescent="0.3">
      <c r="CK1045" s="160"/>
      <c r="CL1045" s="18"/>
      <c r="CM1045" s="18"/>
      <c r="CN1045" s="18"/>
      <c r="CO1045" s="18"/>
      <c r="CP1045" s="219"/>
    </row>
    <row r="1046" spans="89:94" x14ac:dyDescent="0.3">
      <c r="CK1046" s="160"/>
      <c r="CL1046" s="18"/>
      <c r="CM1046" s="18"/>
      <c r="CN1046" s="18"/>
      <c r="CO1046" s="18"/>
      <c r="CP1046" s="219"/>
    </row>
    <row r="1047" spans="89:94" x14ac:dyDescent="0.3">
      <c r="CK1047" s="160"/>
      <c r="CL1047" s="18"/>
      <c r="CM1047" s="18"/>
      <c r="CN1047" s="18"/>
      <c r="CO1047" s="18"/>
      <c r="CP1047" s="219"/>
    </row>
    <row r="1048" spans="89:94" x14ac:dyDescent="0.3">
      <c r="CK1048" s="160"/>
      <c r="CL1048" s="18"/>
      <c r="CM1048" s="18"/>
      <c r="CN1048" s="18"/>
      <c r="CO1048" s="18"/>
      <c r="CP1048" s="219"/>
    </row>
    <row r="1049" spans="89:94" x14ac:dyDescent="0.3">
      <c r="CK1049" s="160"/>
      <c r="CL1049" s="18"/>
      <c r="CM1049" s="18"/>
      <c r="CN1049" s="18"/>
      <c r="CO1049" s="18"/>
      <c r="CP1049" s="219"/>
    </row>
    <row r="1050" spans="89:94" x14ac:dyDescent="0.3">
      <c r="CK1050" s="160"/>
      <c r="CL1050" s="18"/>
      <c r="CM1050" s="18"/>
      <c r="CN1050" s="18"/>
      <c r="CO1050" s="18"/>
      <c r="CP1050" s="219"/>
    </row>
    <row r="1051" spans="89:94" x14ac:dyDescent="0.3">
      <c r="CK1051" s="160"/>
      <c r="CL1051" s="18"/>
      <c r="CM1051" s="18"/>
      <c r="CN1051" s="18"/>
      <c r="CO1051" s="18"/>
      <c r="CP1051" s="219"/>
    </row>
    <row r="1052" spans="89:94" x14ac:dyDescent="0.3">
      <c r="CK1052" s="160"/>
      <c r="CL1052" s="18"/>
      <c r="CM1052" s="18"/>
      <c r="CN1052" s="18"/>
      <c r="CO1052" s="18"/>
      <c r="CP1052" s="219"/>
    </row>
    <row r="1053" spans="89:94" x14ac:dyDescent="0.3">
      <c r="CK1053" s="160"/>
      <c r="CL1053" s="18"/>
      <c r="CM1053" s="18"/>
      <c r="CN1053" s="18"/>
      <c r="CO1053" s="18"/>
      <c r="CP1053" s="219"/>
    </row>
    <row r="1054" spans="89:94" x14ac:dyDescent="0.3">
      <c r="CK1054" s="160"/>
      <c r="CL1054" s="18"/>
      <c r="CM1054" s="18"/>
      <c r="CN1054" s="18"/>
      <c r="CO1054" s="18"/>
      <c r="CP1054" s="219"/>
    </row>
    <row r="1055" spans="89:94" x14ac:dyDescent="0.3">
      <c r="CK1055" s="160"/>
      <c r="CL1055" s="18"/>
      <c r="CM1055" s="18"/>
      <c r="CN1055" s="18"/>
      <c r="CO1055" s="18"/>
      <c r="CP1055" s="219"/>
    </row>
    <row r="1056" spans="89:94" x14ac:dyDescent="0.3">
      <c r="CK1056" s="160"/>
      <c r="CL1056" s="18"/>
      <c r="CM1056" s="18"/>
      <c r="CN1056" s="18"/>
      <c r="CO1056" s="18"/>
      <c r="CP1056" s="219"/>
    </row>
    <row r="1057" spans="89:94" x14ac:dyDescent="0.3">
      <c r="CK1057" s="160"/>
      <c r="CL1057" s="18"/>
      <c r="CM1057" s="18"/>
      <c r="CN1057" s="18"/>
      <c r="CO1057" s="18"/>
      <c r="CP1057" s="219"/>
    </row>
    <row r="1058" spans="89:94" x14ac:dyDescent="0.3">
      <c r="CK1058" s="160"/>
      <c r="CL1058" s="18"/>
      <c r="CM1058" s="18"/>
      <c r="CN1058" s="18"/>
      <c r="CO1058" s="18"/>
      <c r="CP1058" s="221"/>
    </row>
    <row r="1059" spans="89:94" x14ac:dyDescent="0.3">
      <c r="CK1059" s="160"/>
      <c r="CL1059" s="18"/>
      <c r="CM1059" s="18"/>
      <c r="CN1059" s="18"/>
      <c r="CO1059" s="18"/>
      <c r="CP1059" s="221"/>
    </row>
    <row r="1060" spans="89:94" x14ac:dyDescent="0.3">
      <c r="CK1060" s="160"/>
      <c r="CL1060" s="18"/>
      <c r="CM1060" s="18"/>
      <c r="CN1060" s="18"/>
      <c r="CO1060" s="18"/>
      <c r="CP1060" s="221"/>
    </row>
    <row r="1061" spans="89:94" x14ac:dyDescent="0.3">
      <c r="CK1061" s="160"/>
      <c r="CL1061" s="18"/>
      <c r="CM1061" s="18"/>
      <c r="CN1061" s="18"/>
      <c r="CO1061" s="18"/>
      <c r="CP1061" s="221"/>
    </row>
    <row r="1062" spans="89:94" x14ac:dyDescent="0.3">
      <c r="CK1062" s="160"/>
      <c r="CL1062" s="18"/>
      <c r="CM1062" s="18"/>
      <c r="CN1062" s="18"/>
      <c r="CO1062" s="18"/>
      <c r="CP1062" s="221"/>
    </row>
    <row r="1063" spans="89:94" x14ac:dyDescent="0.3">
      <c r="CK1063" s="160"/>
      <c r="CL1063" s="18"/>
      <c r="CM1063" s="18"/>
      <c r="CN1063" s="18"/>
      <c r="CO1063" s="18"/>
      <c r="CP1063" s="221"/>
    </row>
    <row r="1064" spans="89:94" x14ac:dyDescent="0.3">
      <c r="CK1064" s="160"/>
      <c r="CL1064" s="18"/>
      <c r="CM1064" s="18"/>
      <c r="CN1064" s="18"/>
      <c r="CO1064" s="18"/>
      <c r="CP1064" s="221"/>
    </row>
    <row r="1065" spans="89:94" x14ac:dyDescent="0.3">
      <c r="CK1065" s="160"/>
      <c r="CL1065" s="18"/>
      <c r="CM1065" s="18"/>
      <c r="CN1065" s="18"/>
      <c r="CO1065" s="18"/>
      <c r="CP1065" s="221"/>
    </row>
    <row r="1066" spans="89:94" x14ac:dyDescent="0.3">
      <c r="CK1066" s="160"/>
      <c r="CL1066" s="18"/>
      <c r="CM1066" s="18"/>
      <c r="CN1066" s="18"/>
      <c r="CO1066" s="18"/>
      <c r="CP1066" s="221"/>
    </row>
    <row r="1067" spans="89:94" x14ac:dyDescent="0.3">
      <c r="CK1067" s="160"/>
      <c r="CL1067" s="18"/>
      <c r="CM1067" s="18"/>
      <c r="CN1067" s="18"/>
      <c r="CO1067" s="18"/>
      <c r="CP1067" s="221"/>
    </row>
    <row r="1068" spans="89:94" x14ac:dyDescent="0.3">
      <c r="CK1068" s="160"/>
      <c r="CL1068" s="18"/>
      <c r="CM1068" s="18"/>
      <c r="CN1068" s="18"/>
      <c r="CO1068" s="18"/>
      <c r="CP1068" s="221"/>
    </row>
    <row r="1069" spans="89:94" x14ac:dyDescent="0.3">
      <c r="CK1069" s="160"/>
      <c r="CL1069" s="18"/>
      <c r="CM1069" s="18"/>
      <c r="CN1069" s="18"/>
      <c r="CO1069" s="18"/>
      <c r="CP1069" s="221"/>
    </row>
    <row r="1070" spans="89:94" x14ac:dyDescent="0.3">
      <c r="CK1070" s="160"/>
      <c r="CL1070" s="18"/>
      <c r="CM1070" s="18"/>
      <c r="CN1070" s="18"/>
      <c r="CO1070" s="18"/>
      <c r="CP1070" s="221"/>
    </row>
    <row r="1071" spans="89:94" x14ac:dyDescent="0.3">
      <c r="CK1071" s="160"/>
      <c r="CL1071" s="18"/>
      <c r="CM1071" s="18"/>
      <c r="CN1071" s="18"/>
      <c r="CO1071" s="18"/>
      <c r="CP1071" s="221"/>
    </row>
    <row r="1072" spans="89:94" x14ac:dyDescent="0.3">
      <c r="CK1072" s="160"/>
      <c r="CL1072" s="18"/>
      <c r="CM1072" s="18"/>
      <c r="CN1072" s="18"/>
      <c r="CO1072" s="18"/>
      <c r="CP1072" s="221"/>
    </row>
    <row r="1073" spans="89:94" x14ac:dyDescent="0.3">
      <c r="CK1073" s="160"/>
      <c r="CL1073" s="18"/>
      <c r="CM1073" s="18"/>
      <c r="CN1073" s="18"/>
      <c r="CO1073" s="18"/>
      <c r="CP1073" s="221"/>
    </row>
    <row r="1074" spans="89:94" x14ac:dyDescent="0.3">
      <c r="CK1074" s="160"/>
      <c r="CL1074" s="18"/>
      <c r="CM1074" s="18"/>
      <c r="CN1074" s="18"/>
      <c r="CO1074" s="18"/>
      <c r="CP1074" s="221"/>
    </row>
    <row r="1075" spans="89:94" x14ac:dyDescent="0.3">
      <c r="CK1075" s="160"/>
      <c r="CL1075" s="18"/>
      <c r="CM1075" s="18"/>
      <c r="CN1075" s="18"/>
      <c r="CO1075" s="18"/>
      <c r="CP1075" s="221"/>
    </row>
    <row r="1076" spans="89:94" x14ac:dyDescent="0.3">
      <c r="CK1076" s="160"/>
      <c r="CL1076" s="18"/>
      <c r="CM1076" s="18"/>
      <c r="CN1076" s="18"/>
      <c r="CO1076" s="18"/>
      <c r="CP1076" s="221"/>
    </row>
    <row r="1077" spans="89:94" x14ac:dyDescent="0.3">
      <c r="CK1077" s="160"/>
      <c r="CL1077" s="18"/>
      <c r="CM1077" s="18"/>
      <c r="CN1077" s="18"/>
      <c r="CO1077" s="18"/>
      <c r="CP1077" s="221"/>
    </row>
    <row r="1078" spans="89:94" x14ac:dyDescent="0.3">
      <c r="CK1078" s="160"/>
      <c r="CL1078" s="18"/>
      <c r="CM1078" s="18"/>
      <c r="CN1078" s="18"/>
      <c r="CO1078" s="18"/>
      <c r="CP1078" s="221"/>
    </row>
    <row r="1079" spans="89:94" x14ac:dyDescent="0.3">
      <c r="CK1079" s="160"/>
      <c r="CL1079" s="18"/>
      <c r="CM1079" s="18"/>
      <c r="CN1079" s="18"/>
      <c r="CO1079" s="18"/>
      <c r="CP1079" s="221"/>
    </row>
    <row r="1080" spans="89:94" x14ac:dyDescent="0.3">
      <c r="CK1080" s="160"/>
      <c r="CL1080" s="18"/>
      <c r="CM1080" s="18"/>
      <c r="CN1080" s="18"/>
      <c r="CO1080" s="18"/>
      <c r="CP1080" s="221"/>
    </row>
    <row r="1081" spans="89:94" x14ac:dyDescent="0.3">
      <c r="CK1081" s="160"/>
      <c r="CL1081" s="18"/>
      <c r="CM1081" s="18"/>
      <c r="CN1081" s="18"/>
      <c r="CO1081" s="18"/>
      <c r="CP1081" s="221"/>
    </row>
    <row r="1082" spans="89:94" x14ac:dyDescent="0.3">
      <c r="CK1082" s="160"/>
      <c r="CL1082" s="18"/>
      <c r="CM1082" s="18"/>
      <c r="CN1082" s="18"/>
      <c r="CO1082" s="18"/>
      <c r="CP1082" s="221"/>
    </row>
    <row r="1083" spans="89:94" x14ac:dyDescent="0.3">
      <c r="CK1083" s="160"/>
      <c r="CL1083" s="18"/>
      <c r="CM1083" s="18"/>
      <c r="CN1083" s="18"/>
      <c r="CO1083" s="18"/>
      <c r="CP1083" s="221"/>
    </row>
    <row r="1084" spans="89:94" x14ac:dyDescent="0.3">
      <c r="CK1084" s="160"/>
      <c r="CL1084" s="18"/>
      <c r="CM1084" s="18"/>
      <c r="CN1084" s="18"/>
      <c r="CO1084" s="18"/>
      <c r="CP1084" s="221"/>
    </row>
    <row r="1085" spans="89:94" x14ac:dyDescent="0.3">
      <c r="CK1085" s="160"/>
      <c r="CL1085" s="18"/>
      <c r="CM1085" s="18"/>
      <c r="CN1085" s="18"/>
      <c r="CO1085" s="18"/>
      <c r="CP1085" s="221"/>
    </row>
    <row r="1086" spans="89:94" x14ac:dyDescent="0.3">
      <c r="CK1086" s="160"/>
      <c r="CL1086" s="18"/>
      <c r="CM1086" s="18"/>
      <c r="CN1086" s="18"/>
      <c r="CO1086" s="18"/>
      <c r="CP1086" s="221"/>
    </row>
    <row r="1087" spans="89:94" x14ac:dyDescent="0.3">
      <c r="CK1087" s="160"/>
      <c r="CL1087" s="18"/>
      <c r="CM1087" s="18"/>
      <c r="CN1087" s="18"/>
      <c r="CO1087" s="18"/>
      <c r="CP1087" s="221"/>
    </row>
    <row r="1088" spans="89:94" x14ac:dyDescent="0.3">
      <c r="CK1088" s="160"/>
      <c r="CL1088" s="18"/>
      <c r="CM1088" s="18"/>
      <c r="CN1088" s="18"/>
      <c r="CO1088" s="18"/>
      <c r="CP1088" s="221"/>
    </row>
    <row r="1089" spans="89:94" x14ac:dyDescent="0.3">
      <c r="CK1089" s="160"/>
      <c r="CL1089" s="18"/>
      <c r="CM1089" s="18"/>
      <c r="CN1089" s="18"/>
      <c r="CO1089" s="18"/>
      <c r="CP1089" s="221"/>
    </row>
    <row r="1090" spans="89:94" x14ac:dyDescent="0.3">
      <c r="CK1090" s="160"/>
      <c r="CL1090" s="18"/>
      <c r="CM1090" s="18"/>
      <c r="CN1090" s="18"/>
      <c r="CO1090" s="18"/>
      <c r="CP1090" s="221"/>
    </row>
    <row r="1091" spans="89:94" x14ac:dyDescent="0.3">
      <c r="CK1091" s="160"/>
      <c r="CL1091" s="18"/>
      <c r="CM1091" s="18"/>
      <c r="CN1091" s="18"/>
      <c r="CO1091" s="18"/>
      <c r="CP1091" s="221"/>
    </row>
    <row r="1092" spans="89:94" x14ac:dyDescent="0.3">
      <c r="CK1092" s="160"/>
      <c r="CL1092" s="18"/>
      <c r="CM1092" s="18"/>
      <c r="CN1092" s="18"/>
      <c r="CO1092" s="18"/>
      <c r="CP1092" s="221"/>
    </row>
    <row r="1093" spans="89:94" x14ac:dyDescent="0.3">
      <c r="CK1093" s="160"/>
      <c r="CL1093" s="18"/>
      <c r="CM1093" s="18"/>
      <c r="CN1093" s="18"/>
      <c r="CO1093" s="18"/>
      <c r="CP1093" s="221"/>
    </row>
    <row r="1094" spans="89:94" x14ac:dyDescent="0.3">
      <c r="CK1094" s="160"/>
      <c r="CL1094" s="18"/>
      <c r="CM1094" s="18"/>
      <c r="CN1094" s="18"/>
      <c r="CO1094" s="18"/>
      <c r="CP1094" s="221"/>
    </row>
    <row r="1095" spans="89:94" x14ac:dyDescent="0.3">
      <c r="CK1095" s="160"/>
      <c r="CL1095" s="18"/>
      <c r="CM1095" s="18"/>
      <c r="CN1095" s="18"/>
      <c r="CO1095" s="18"/>
      <c r="CP1095" s="221"/>
    </row>
    <row r="1096" spans="89:94" x14ac:dyDescent="0.3">
      <c r="CK1096" s="160"/>
      <c r="CL1096" s="18"/>
      <c r="CM1096" s="18"/>
      <c r="CN1096" s="18"/>
      <c r="CO1096" s="18"/>
      <c r="CP1096" s="221"/>
    </row>
    <row r="1097" spans="89:94" x14ac:dyDescent="0.3">
      <c r="CK1097" s="160"/>
      <c r="CL1097" s="18"/>
      <c r="CM1097" s="18"/>
      <c r="CN1097" s="18"/>
      <c r="CO1097" s="18"/>
      <c r="CP1097" s="221"/>
    </row>
    <row r="1098" spans="89:94" x14ac:dyDescent="0.3">
      <c r="CK1098" s="160"/>
      <c r="CL1098" s="18"/>
      <c r="CM1098" s="18"/>
      <c r="CN1098" s="18"/>
      <c r="CO1098" s="18"/>
      <c r="CP1098" s="221"/>
    </row>
    <row r="1099" spans="89:94" x14ac:dyDescent="0.3">
      <c r="CK1099" s="160"/>
      <c r="CL1099" s="18"/>
      <c r="CM1099" s="18"/>
      <c r="CN1099" s="18"/>
      <c r="CO1099" s="18"/>
      <c r="CP1099" s="221"/>
    </row>
    <row r="1100" spans="89:94" x14ac:dyDescent="0.3">
      <c r="CK1100" s="160"/>
      <c r="CL1100" s="18"/>
      <c r="CM1100" s="18"/>
      <c r="CN1100" s="18"/>
      <c r="CO1100" s="18"/>
      <c r="CP1100" s="221"/>
    </row>
    <row r="1101" spans="89:94" x14ac:dyDescent="0.3">
      <c r="CK1101" s="160"/>
      <c r="CL1101" s="18"/>
      <c r="CM1101" s="18"/>
      <c r="CN1101" s="18"/>
      <c r="CO1101" s="18"/>
      <c r="CP1101" s="221"/>
    </row>
    <row r="1102" spans="89:94" x14ac:dyDescent="0.3">
      <c r="CK1102" s="160"/>
      <c r="CL1102" s="18"/>
      <c r="CM1102" s="18"/>
      <c r="CN1102" s="18"/>
      <c r="CO1102" s="18"/>
      <c r="CP1102" s="221"/>
    </row>
    <row r="1103" spans="89:94" x14ac:dyDescent="0.3">
      <c r="CK1103" s="160"/>
      <c r="CL1103" s="18"/>
      <c r="CM1103" s="18"/>
      <c r="CN1103" s="18"/>
      <c r="CO1103" s="18"/>
      <c r="CP1103" s="221"/>
    </row>
    <row r="1104" spans="89:94" x14ac:dyDescent="0.3">
      <c r="CK1104" s="160"/>
      <c r="CL1104" s="18"/>
      <c r="CM1104" s="18"/>
      <c r="CN1104" s="18"/>
      <c r="CO1104" s="18"/>
      <c r="CP1104" s="221"/>
    </row>
    <row r="1105" spans="89:94" x14ac:dyDescent="0.3">
      <c r="CK1105" s="160"/>
      <c r="CL1105" s="18"/>
      <c r="CM1105" s="18"/>
      <c r="CN1105" s="18"/>
      <c r="CO1105" s="18"/>
      <c r="CP1105" s="221"/>
    </row>
    <row r="1106" spans="89:94" x14ac:dyDescent="0.3">
      <c r="CK1106" s="160"/>
      <c r="CL1106" s="18"/>
      <c r="CM1106" s="18"/>
      <c r="CN1106" s="18"/>
      <c r="CO1106" s="18"/>
      <c r="CP1106" s="221"/>
    </row>
    <row r="1107" spans="89:94" x14ac:dyDescent="0.3">
      <c r="CK1107" s="160"/>
      <c r="CL1107" s="18"/>
      <c r="CM1107" s="18"/>
      <c r="CN1107" s="18"/>
      <c r="CO1107" s="18"/>
      <c r="CP1107" s="221"/>
    </row>
    <row r="1108" spans="89:94" x14ac:dyDescent="0.3">
      <c r="CK1108" s="160"/>
      <c r="CL1108" s="18"/>
      <c r="CM1108" s="18"/>
      <c r="CN1108" s="18"/>
      <c r="CO1108" s="18"/>
      <c r="CP1108" s="221"/>
    </row>
    <row r="1109" spans="89:94" x14ac:dyDescent="0.3">
      <c r="CK1109" s="160"/>
      <c r="CL1109" s="18"/>
      <c r="CM1109" s="18"/>
      <c r="CN1109" s="18"/>
      <c r="CO1109" s="18"/>
      <c r="CP1109" s="221"/>
    </row>
    <row r="1110" spans="89:94" x14ac:dyDescent="0.3">
      <c r="CK1110" s="160"/>
      <c r="CL1110" s="18"/>
      <c r="CM1110" s="18"/>
      <c r="CN1110" s="18"/>
      <c r="CO1110" s="18"/>
      <c r="CP1110" s="221"/>
    </row>
    <row r="1111" spans="89:94" x14ac:dyDescent="0.3">
      <c r="CK1111" s="160"/>
      <c r="CL1111" s="18"/>
      <c r="CM1111" s="18"/>
      <c r="CN1111" s="18"/>
      <c r="CO1111" s="18"/>
      <c r="CP1111" s="221"/>
    </row>
    <row r="1112" spans="89:94" x14ac:dyDescent="0.3">
      <c r="CK1112" s="160"/>
      <c r="CL1112" s="18"/>
      <c r="CM1112" s="18"/>
      <c r="CN1112" s="18"/>
      <c r="CO1112" s="18"/>
      <c r="CP1112" s="221"/>
    </row>
    <row r="1113" spans="89:94" x14ac:dyDescent="0.3">
      <c r="CK1113" s="160"/>
      <c r="CL1113" s="18"/>
      <c r="CM1113" s="18"/>
      <c r="CN1113" s="18"/>
      <c r="CO1113" s="18"/>
      <c r="CP1113" s="221"/>
    </row>
    <row r="1114" spans="89:94" x14ac:dyDescent="0.3">
      <c r="CK1114" s="160"/>
      <c r="CL1114" s="18"/>
      <c r="CM1114" s="18"/>
      <c r="CN1114" s="18"/>
      <c r="CO1114" s="18"/>
      <c r="CP1114" s="221"/>
    </row>
    <row r="1115" spans="89:94" x14ac:dyDescent="0.3">
      <c r="CK1115" s="160"/>
      <c r="CL1115" s="18"/>
      <c r="CM1115" s="18"/>
      <c r="CN1115" s="18"/>
      <c r="CO1115" s="18"/>
      <c r="CP1115" s="221"/>
    </row>
    <row r="1116" spans="89:94" x14ac:dyDescent="0.3">
      <c r="CK1116" s="160"/>
      <c r="CL1116" s="18"/>
      <c r="CM1116" s="18"/>
      <c r="CN1116" s="18"/>
      <c r="CO1116" s="18"/>
      <c r="CP1116" s="221"/>
    </row>
    <row r="1117" spans="89:94" x14ac:dyDescent="0.3">
      <c r="CK1117" s="160"/>
      <c r="CL1117" s="18"/>
      <c r="CM1117" s="18"/>
      <c r="CN1117" s="18"/>
      <c r="CO1117" s="18"/>
      <c r="CP1117" s="221"/>
    </row>
    <row r="1118" spans="89:94" x14ac:dyDescent="0.3">
      <c r="CK1118" s="160"/>
      <c r="CL1118" s="18"/>
      <c r="CM1118" s="18"/>
      <c r="CN1118" s="18"/>
      <c r="CO1118" s="18"/>
      <c r="CP1118" s="221"/>
    </row>
    <row r="1119" spans="89:94" x14ac:dyDescent="0.3">
      <c r="CK1119" s="160"/>
      <c r="CL1119" s="18"/>
      <c r="CM1119" s="18"/>
      <c r="CN1119" s="18"/>
      <c r="CO1119" s="18"/>
      <c r="CP1119" s="221"/>
    </row>
    <row r="1120" spans="89:94" x14ac:dyDescent="0.3">
      <c r="CK1120" s="160"/>
      <c r="CL1120" s="18"/>
      <c r="CM1120" s="18"/>
      <c r="CN1120" s="18"/>
      <c r="CO1120" s="18"/>
      <c r="CP1120" s="221"/>
    </row>
    <row r="1121" spans="89:94" x14ac:dyDescent="0.3">
      <c r="CK1121" s="160"/>
      <c r="CL1121" s="18"/>
      <c r="CM1121" s="18"/>
      <c r="CN1121" s="18"/>
      <c r="CO1121" s="18"/>
      <c r="CP1121" s="221"/>
    </row>
    <row r="1122" spans="89:94" x14ac:dyDescent="0.3">
      <c r="CK1122" s="160"/>
      <c r="CL1122" s="18"/>
      <c r="CM1122" s="18"/>
      <c r="CN1122" s="18"/>
      <c r="CO1122" s="18"/>
      <c r="CP1122" s="221"/>
    </row>
    <row r="1123" spans="89:94" x14ac:dyDescent="0.3">
      <c r="CK1123" s="160"/>
      <c r="CL1123" s="18"/>
      <c r="CM1123" s="18"/>
      <c r="CN1123" s="18"/>
      <c r="CO1123" s="18"/>
      <c r="CP1123" s="221"/>
    </row>
    <row r="1124" spans="89:94" x14ac:dyDescent="0.3">
      <c r="CK1124" s="160"/>
      <c r="CL1124" s="18"/>
      <c r="CM1124" s="18"/>
      <c r="CN1124" s="18"/>
      <c r="CO1124" s="18"/>
      <c r="CP1124" s="221"/>
    </row>
    <row r="1125" spans="89:94" x14ac:dyDescent="0.3">
      <c r="CL1125" s="18"/>
      <c r="CM1125" s="18"/>
      <c r="CN1125" s="18"/>
      <c r="CO1125" s="18"/>
      <c r="CP1125" s="221"/>
    </row>
    <row r="1126" spans="89:94" x14ac:dyDescent="0.3">
      <c r="CL1126" s="18"/>
      <c r="CM1126" s="18"/>
      <c r="CN1126" s="18"/>
      <c r="CO1126" s="18"/>
      <c r="CP1126" s="219"/>
    </row>
    <row r="1127" spans="89:94" x14ac:dyDescent="0.3">
      <c r="CL1127" s="18"/>
      <c r="CM1127" s="18"/>
      <c r="CN1127" s="18"/>
      <c r="CO1127" s="18"/>
      <c r="CP1127" s="219"/>
    </row>
    <row r="1128" spans="89:94" x14ac:dyDescent="0.3">
      <c r="CL1128" s="18"/>
      <c r="CM1128" s="18"/>
      <c r="CN1128" s="18"/>
      <c r="CO1128" s="18"/>
      <c r="CP1128" s="219"/>
    </row>
    <row r="1129" spans="89:94" x14ac:dyDescent="0.3">
      <c r="CL1129" s="18"/>
      <c r="CM1129" s="18"/>
      <c r="CN1129" s="18"/>
      <c r="CO1129" s="18"/>
      <c r="CP1129" s="219"/>
    </row>
    <row r="1130" spans="89:94" x14ac:dyDescent="0.3">
      <c r="CL1130" s="18"/>
      <c r="CM1130" s="18"/>
      <c r="CN1130" s="18"/>
      <c r="CO1130" s="18"/>
      <c r="CP1130" s="219"/>
    </row>
    <row r="1131" spans="89:94" x14ac:dyDescent="0.3">
      <c r="CL1131" s="18"/>
      <c r="CM1131" s="18"/>
      <c r="CN1131" s="18"/>
      <c r="CO1131" s="18"/>
      <c r="CP1131" s="219"/>
    </row>
    <row r="1132" spans="89:94" x14ac:dyDescent="0.3">
      <c r="CL1132" s="18"/>
      <c r="CM1132" s="18"/>
      <c r="CN1132" s="18"/>
      <c r="CO1132" s="18"/>
      <c r="CP1132" s="219"/>
    </row>
    <row r="1133" spans="89:94" x14ac:dyDescent="0.3">
      <c r="CL1133" s="18"/>
      <c r="CM1133" s="18"/>
      <c r="CN1133" s="18"/>
      <c r="CO1133" s="18"/>
      <c r="CP1133" s="219"/>
    </row>
    <row r="1134" spans="89:94" x14ac:dyDescent="0.3">
      <c r="CL1134" s="18"/>
      <c r="CM1134" s="18"/>
      <c r="CN1134" s="18"/>
      <c r="CO1134" s="18"/>
      <c r="CP1134" s="219"/>
    </row>
    <row r="1135" spans="89:94" x14ac:dyDescent="0.3">
      <c r="CL1135" s="18"/>
      <c r="CM1135" s="18"/>
      <c r="CN1135" s="18"/>
      <c r="CO1135" s="18"/>
      <c r="CP1135" s="219"/>
    </row>
    <row r="1136" spans="89:94" x14ac:dyDescent="0.3">
      <c r="CL1136" s="18"/>
      <c r="CM1136" s="18"/>
      <c r="CN1136" s="18"/>
      <c r="CO1136" s="18"/>
      <c r="CP1136" s="219"/>
    </row>
    <row r="1137" spans="90:94" x14ac:dyDescent="0.3">
      <c r="CL1137" s="18"/>
      <c r="CM1137" s="18"/>
      <c r="CN1137" s="18"/>
      <c r="CO1137" s="18"/>
      <c r="CP1137" s="219"/>
    </row>
    <row r="1138" spans="90:94" x14ac:dyDescent="0.3">
      <c r="CL1138" s="18"/>
      <c r="CM1138" s="18"/>
      <c r="CN1138" s="18"/>
      <c r="CO1138" s="18"/>
      <c r="CP1138" s="219"/>
    </row>
    <row r="1139" spans="90:94" x14ac:dyDescent="0.3">
      <c r="CL1139" s="18"/>
      <c r="CM1139" s="18"/>
      <c r="CN1139" s="18"/>
      <c r="CO1139" s="18"/>
      <c r="CP1139" s="219"/>
    </row>
    <row r="1140" spans="90:94" x14ac:dyDescent="0.3">
      <c r="CL1140" s="18"/>
      <c r="CM1140" s="18"/>
      <c r="CN1140" s="18"/>
      <c r="CO1140" s="18"/>
      <c r="CP1140" s="219"/>
    </row>
    <row r="1141" spans="90:94" x14ac:dyDescent="0.3">
      <c r="CL1141" s="18"/>
      <c r="CM1141" s="18"/>
      <c r="CN1141" s="18"/>
      <c r="CO1141" s="18"/>
      <c r="CP1141" s="219"/>
    </row>
    <row r="1142" spans="90:94" x14ac:dyDescent="0.3">
      <c r="CL1142" s="18"/>
      <c r="CM1142" s="18"/>
      <c r="CN1142" s="18"/>
      <c r="CO1142" s="18"/>
      <c r="CP1142" s="219"/>
    </row>
    <row r="1143" spans="90:94" x14ac:dyDescent="0.3">
      <c r="CL1143" s="18"/>
      <c r="CM1143" s="18"/>
      <c r="CN1143" s="18"/>
      <c r="CO1143" s="18"/>
      <c r="CP1143" s="219"/>
    </row>
    <row r="1144" spans="90:94" x14ac:dyDescent="0.3">
      <c r="CL1144" s="18"/>
      <c r="CM1144" s="18"/>
      <c r="CN1144" s="18"/>
      <c r="CO1144" s="18"/>
      <c r="CP1144" s="219"/>
    </row>
    <row r="1145" spans="90:94" x14ac:dyDescent="0.3">
      <c r="CL1145" s="18"/>
      <c r="CM1145" s="18"/>
      <c r="CN1145" s="18"/>
      <c r="CO1145" s="18"/>
      <c r="CP1145" s="219"/>
    </row>
    <row r="1146" spans="90:94" x14ac:dyDescent="0.3">
      <c r="CL1146" s="18"/>
      <c r="CM1146" s="18"/>
      <c r="CN1146" s="18"/>
      <c r="CO1146" s="18"/>
      <c r="CP1146" s="219"/>
    </row>
    <row r="1147" spans="90:94" x14ac:dyDescent="0.3">
      <c r="CL1147" s="18"/>
      <c r="CM1147" s="18"/>
      <c r="CN1147" s="18"/>
      <c r="CO1147" s="18"/>
      <c r="CP1147" s="219"/>
    </row>
    <row r="1148" spans="90:94" x14ac:dyDescent="0.3">
      <c r="CL1148" s="18"/>
      <c r="CM1148" s="18"/>
      <c r="CN1148" s="18"/>
      <c r="CO1148" s="18"/>
      <c r="CP1148" s="219"/>
    </row>
    <row r="1149" spans="90:94" x14ac:dyDescent="0.3">
      <c r="CL1149" s="18"/>
      <c r="CM1149" s="18"/>
      <c r="CN1149" s="18"/>
      <c r="CO1149" s="18"/>
      <c r="CP1149" s="219"/>
    </row>
    <row r="1150" spans="90:94" x14ac:dyDescent="0.3">
      <c r="CL1150" s="18"/>
      <c r="CM1150" s="18"/>
      <c r="CN1150" s="18"/>
      <c r="CO1150" s="18"/>
      <c r="CP1150" s="219"/>
    </row>
    <row r="1151" spans="90:94" x14ac:dyDescent="0.3">
      <c r="CL1151" s="18"/>
      <c r="CM1151" s="18"/>
      <c r="CN1151" s="18"/>
      <c r="CO1151" s="18"/>
      <c r="CP1151" s="219"/>
    </row>
    <row r="1152" spans="90:94" x14ac:dyDescent="0.3">
      <c r="CL1152" s="18"/>
      <c r="CM1152" s="18"/>
      <c r="CN1152" s="18"/>
      <c r="CO1152" s="18"/>
      <c r="CP1152" s="219"/>
    </row>
    <row r="1153" spans="90:94" x14ac:dyDescent="0.3">
      <c r="CL1153" s="18"/>
      <c r="CM1153" s="18"/>
      <c r="CN1153" s="18"/>
      <c r="CO1153" s="18"/>
      <c r="CP1153" s="219"/>
    </row>
    <row r="1154" spans="90:94" x14ac:dyDescent="0.3">
      <c r="CL1154" s="18"/>
      <c r="CM1154" s="18"/>
      <c r="CN1154" s="18"/>
      <c r="CO1154" s="18"/>
      <c r="CP1154" s="219"/>
    </row>
    <row r="1155" spans="90:94" x14ac:dyDescent="0.3">
      <c r="CL1155" s="18"/>
      <c r="CM1155" s="18"/>
      <c r="CN1155" s="18"/>
      <c r="CO1155" s="18"/>
      <c r="CP1155" s="219"/>
    </row>
    <row r="1156" spans="90:94" x14ac:dyDescent="0.3">
      <c r="CL1156" s="18"/>
      <c r="CM1156" s="18"/>
      <c r="CN1156" s="18"/>
      <c r="CO1156" s="18"/>
      <c r="CP1156" s="219"/>
    </row>
    <row r="1157" spans="90:94" x14ac:dyDescent="0.3">
      <c r="CL1157" s="18"/>
      <c r="CM1157" s="18"/>
      <c r="CN1157" s="18"/>
      <c r="CO1157" s="18"/>
      <c r="CP1157" s="219"/>
    </row>
    <row r="1158" spans="90:94" x14ac:dyDescent="0.3">
      <c r="CL1158" s="18"/>
      <c r="CM1158" s="18"/>
      <c r="CN1158" s="18"/>
      <c r="CO1158" s="18"/>
      <c r="CP1158" s="219"/>
    </row>
    <row r="1159" spans="90:94" x14ac:dyDescent="0.3">
      <c r="CL1159" s="18"/>
      <c r="CM1159" s="18"/>
      <c r="CN1159" s="18"/>
      <c r="CO1159" s="18"/>
      <c r="CP1159" s="219"/>
    </row>
    <row r="1160" spans="90:94" x14ac:dyDescent="0.3">
      <c r="CL1160" s="18"/>
      <c r="CM1160" s="18"/>
      <c r="CN1160" s="18"/>
      <c r="CO1160" s="18"/>
      <c r="CP1160" s="219"/>
    </row>
    <row r="1161" spans="90:94" x14ac:dyDescent="0.3">
      <c r="CL1161" s="18"/>
      <c r="CM1161" s="18"/>
      <c r="CN1161" s="18"/>
      <c r="CO1161" s="18"/>
      <c r="CP1161" s="219"/>
    </row>
    <row r="1162" spans="90:94" x14ac:dyDescent="0.3">
      <c r="CL1162" s="18"/>
      <c r="CM1162" s="18"/>
      <c r="CN1162" s="18"/>
      <c r="CO1162" s="18"/>
      <c r="CP1162" s="219"/>
    </row>
    <row r="1163" spans="90:94" x14ac:dyDescent="0.3">
      <c r="CL1163" s="18"/>
      <c r="CM1163" s="18"/>
      <c r="CN1163" s="18"/>
      <c r="CO1163" s="18"/>
      <c r="CP1163" s="219"/>
    </row>
    <row r="1164" spans="90:94" x14ac:dyDescent="0.3">
      <c r="CL1164" s="18"/>
      <c r="CM1164" s="18"/>
      <c r="CN1164" s="18"/>
      <c r="CO1164" s="18"/>
      <c r="CP1164" s="219"/>
    </row>
    <row r="1165" spans="90:94" x14ac:dyDescent="0.3">
      <c r="CL1165" s="18"/>
      <c r="CM1165" s="18"/>
      <c r="CN1165" s="18"/>
      <c r="CO1165" s="18"/>
      <c r="CP1165" s="219"/>
    </row>
    <row r="1166" spans="90:94" x14ac:dyDescent="0.3">
      <c r="CL1166" s="18"/>
      <c r="CM1166" s="18"/>
      <c r="CN1166" s="18"/>
      <c r="CO1166" s="18"/>
      <c r="CP1166" s="219"/>
    </row>
    <row r="1167" spans="90:94" x14ac:dyDescent="0.3">
      <c r="CL1167" s="18"/>
      <c r="CM1167" s="18"/>
      <c r="CN1167" s="18"/>
      <c r="CO1167" s="18"/>
      <c r="CP1167" s="219"/>
    </row>
    <row r="1168" spans="90:94" x14ac:dyDescent="0.3">
      <c r="CL1168" s="18"/>
      <c r="CM1168" s="18"/>
      <c r="CN1168" s="18"/>
      <c r="CO1168" s="18"/>
      <c r="CP1168" s="219"/>
    </row>
    <row r="1169" spans="90:94" x14ac:dyDescent="0.3">
      <c r="CL1169" s="18"/>
      <c r="CM1169" s="18"/>
      <c r="CN1169" s="18"/>
      <c r="CO1169" s="18"/>
      <c r="CP1169" s="219"/>
    </row>
    <row r="1170" spans="90:94" x14ac:dyDescent="0.3">
      <c r="CL1170" s="18"/>
      <c r="CM1170" s="18"/>
      <c r="CN1170" s="18"/>
      <c r="CO1170" s="18"/>
      <c r="CP1170" s="219"/>
    </row>
    <row r="1171" spans="90:94" x14ac:dyDescent="0.3">
      <c r="CL1171" s="18"/>
      <c r="CM1171" s="18"/>
      <c r="CN1171" s="18"/>
      <c r="CO1171" s="18"/>
      <c r="CP1171" s="219"/>
    </row>
    <row r="1172" spans="90:94" x14ac:dyDescent="0.3">
      <c r="CL1172" s="18"/>
      <c r="CM1172" s="18"/>
      <c r="CN1172" s="18"/>
      <c r="CO1172" s="18"/>
      <c r="CP1172" s="219"/>
    </row>
    <row r="1173" spans="90:94" x14ac:dyDescent="0.3">
      <c r="CL1173" s="18"/>
      <c r="CM1173" s="18"/>
      <c r="CN1173" s="18"/>
      <c r="CO1173" s="18"/>
      <c r="CP1173" s="219"/>
    </row>
    <row r="1174" spans="90:94" x14ac:dyDescent="0.3">
      <c r="CL1174" s="18"/>
      <c r="CM1174" s="18"/>
      <c r="CN1174" s="18"/>
      <c r="CO1174" s="18"/>
      <c r="CP1174" s="219"/>
    </row>
    <row r="1175" spans="90:94" x14ac:dyDescent="0.3">
      <c r="CL1175" s="18"/>
      <c r="CM1175" s="18"/>
      <c r="CN1175" s="18"/>
      <c r="CO1175" s="18"/>
      <c r="CP1175" s="219"/>
    </row>
    <row r="1176" spans="90:94" x14ac:dyDescent="0.3">
      <c r="CL1176" s="18"/>
      <c r="CM1176" s="18"/>
      <c r="CN1176" s="18"/>
      <c r="CO1176" s="18"/>
      <c r="CP1176" s="219"/>
    </row>
    <row r="1177" spans="90:94" x14ac:dyDescent="0.3">
      <c r="CL1177" s="18"/>
      <c r="CM1177" s="18"/>
      <c r="CN1177" s="18"/>
      <c r="CO1177" s="18"/>
      <c r="CP1177" s="219"/>
    </row>
    <row r="1178" spans="90:94" x14ac:dyDescent="0.3">
      <c r="CL1178" s="18"/>
      <c r="CM1178" s="18"/>
      <c r="CN1178" s="18"/>
      <c r="CO1178" s="18"/>
      <c r="CP1178" s="219"/>
    </row>
    <row r="1179" spans="90:94" x14ac:dyDescent="0.3">
      <c r="CL1179" s="18"/>
      <c r="CM1179" s="18"/>
      <c r="CN1179" s="18"/>
      <c r="CO1179" s="18"/>
      <c r="CP1179" s="219"/>
    </row>
    <row r="1180" spans="90:94" x14ac:dyDescent="0.3">
      <c r="CL1180" s="18"/>
      <c r="CM1180" s="18"/>
      <c r="CN1180" s="220"/>
      <c r="CO1180" s="18"/>
      <c r="CP1180" s="219"/>
    </row>
    <row r="1181" spans="90:94" x14ac:dyDescent="0.3">
      <c r="CL1181" s="18"/>
      <c r="CM1181" s="18"/>
      <c r="CN1181" s="18"/>
      <c r="CO1181" s="18"/>
      <c r="CP1181" s="219"/>
    </row>
    <row r="1182" spans="90:94" x14ac:dyDescent="0.3">
      <c r="CL1182" s="18"/>
      <c r="CM1182" s="18"/>
      <c r="CN1182" s="18"/>
      <c r="CO1182" s="18"/>
      <c r="CP1182" s="219"/>
    </row>
    <row r="1183" spans="90:94" x14ac:dyDescent="0.3">
      <c r="CL1183" s="18"/>
      <c r="CM1183" s="18"/>
      <c r="CN1183" s="18"/>
      <c r="CO1183" s="18"/>
      <c r="CP1183" s="219"/>
    </row>
    <row r="1184" spans="90:94" x14ac:dyDescent="0.3">
      <c r="CL1184" s="18"/>
      <c r="CM1184" s="18"/>
      <c r="CN1184" s="220"/>
      <c r="CO1184" s="18"/>
      <c r="CP1184" s="219"/>
    </row>
    <row r="1185" spans="90:94" x14ac:dyDescent="0.3">
      <c r="CL1185" s="18"/>
      <c r="CM1185" s="18"/>
      <c r="CN1185" s="18"/>
      <c r="CO1185" s="18"/>
      <c r="CP1185" s="219"/>
    </row>
    <row r="1186" spans="90:94" x14ac:dyDescent="0.3">
      <c r="CL1186" s="18"/>
      <c r="CM1186" s="18"/>
      <c r="CN1186" s="18"/>
      <c r="CO1186" s="18"/>
      <c r="CP1186" s="219"/>
    </row>
    <row r="1187" spans="90:94" x14ac:dyDescent="0.3">
      <c r="CL1187" s="18"/>
      <c r="CM1187" s="18"/>
      <c r="CN1187" s="18"/>
      <c r="CO1187" s="18"/>
      <c r="CP1187" s="219"/>
    </row>
    <row r="1188" spans="90:94" x14ac:dyDescent="0.3">
      <c r="CL1188" s="18"/>
      <c r="CM1188" s="18"/>
      <c r="CN1188" s="18"/>
      <c r="CO1188" s="18"/>
      <c r="CP1188" s="219"/>
    </row>
    <row r="1189" spans="90:94" x14ac:dyDescent="0.3">
      <c r="CL1189" s="18"/>
      <c r="CM1189" s="18"/>
      <c r="CN1189" s="18"/>
      <c r="CO1189" s="18"/>
      <c r="CP1189" s="219"/>
    </row>
    <row r="1190" spans="90:94" x14ac:dyDescent="0.3">
      <c r="CL1190" s="18"/>
      <c r="CM1190" s="18"/>
      <c r="CN1190" s="18"/>
      <c r="CO1190" s="18"/>
      <c r="CP1190" s="219"/>
    </row>
    <row r="1191" spans="90:94" x14ac:dyDescent="0.3">
      <c r="CL1191" s="18"/>
      <c r="CM1191" s="18"/>
      <c r="CN1191" s="18"/>
      <c r="CO1191" s="18"/>
      <c r="CP1191" s="219"/>
    </row>
    <row r="1192" spans="90:94" x14ac:dyDescent="0.3">
      <c r="CL1192" s="18"/>
      <c r="CM1192" s="18"/>
      <c r="CN1192" s="18"/>
      <c r="CO1192" s="18"/>
      <c r="CP1192" s="219"/>
    </row>
    <row r="1193" spans="90:94" x14ac:dyDescent="0.3">
      <c r="CL1193" s="18"/>
      <c r="CM1193" s="18"/>
      <c r="CN1193" s="18"/>
      <c r="CO1193" s="18"/>
      <c r="CP1193" s="219"/>
    </row>
    <row r="1194" spans="90:94" x14ac:dyDescent="0.3">
      <c r="CL1194" s="18"/>
      <c r="CM1194" s="18"/>
      <c r="CN1194" s="18"/>
      <c r="CO1194" s="18"/>
      <c r="CP1194" s="219"/>
    </row>
    <row r="1195" spans="90:94" x14ac:dyDescent="0.3">
      <c r="CL1195" s="18"/>
      <c r="CM1195" s="18"/>
      <c r="CN1195" s="18"/>
      <c r="CO1195" s="18"/>
      <c r="CP1195" s="219"/>
    </row>
    <row r="1196" spans="90:94" x14ac:dyDescent="0.3">
      <c r="CL1196" s="18"/>
      <c r="CM1196" s="18"/>
      <c r="CN1196" s="18"/>
      <c r="CO1196" s="18"/>
      <c r="CP1196" s="219"/>
    </row>
    <row r="1197" spans="90:94" x14ac:dyDescent="0.3">
      <c r="CL1197" s="18"/>
      <c r="CM1197" s="18"/>
      <c r="CN1197" s="18"/>
      <c r="CO1197" s="18"/>
      <c r="CP1197" s="219"/>
    </row>
    <row r="1198" spans="90:94" x14ac:dyDescent="0.3">
      <c r="CL1198" s="18"/>
      <c r="CM1198" s="18"/>
      <c r="CN1198" s="18"/>
      <c r="CO1198" s="18"/>
      <c r="CP1198" s="219"/>
    </row>
    <row r="1199" spans="90:94" x14ac:dyDescent="0.3">
      <c r="CL1199" s="18"/>
      <c r="CM1199" s="18"/>
      <c r="CN1199" s="18"/>
      <c r="CO1199" s="18"/>
      <c r="CP1199" s="219"/>
    </row>
    <row r="1200" spans="90:94" x14ac:dyDescent="0.3">
      <c r="CL1200" s="18"/>
      <c r="CM1200" s="18"/>
      <c r="CN1200" s="18"/>
      <c r="CO1200" s="18"/>
      <c r="CP1200" s="219"/>
    </row>
    <row r="1201" spans="90:94" x14ac:dyDescent="0.3">
      <c r="CL1201" s="18"/>
      <c r="CM1201" s="18"/>
      <c r="CN1201" s="18"/>
      <c r="CO1201" s="18"/>
      <c r="CP1201" s="221"/>
    </row>
    <row r="1202" spans="90:94" x14ac:dyDescent="0.3">
      <c r="CL1202" s="18"/>
      <c r="CM1202" s="18"/>
      <c r="CN1202" s="18"/>
      <c r="CO1202" s="18"/>
      <c r="CP1202" s="221"/>
    </row>
    <row r="1203" spans="90:94" x14ac:dyDescent="0.3">
      <c r="CL1203" s="18"/>
      <c r="CM1203" s="18"/>
      <c r="CN1203" s="18"/>
      <c r="CO1203" s="18"/>
      <c r="CP1203" s="221"/>
    </row>
    <row r="1204" spans="90:94" x14ac:dyDescent="0.3">
      <c r="CL1204" s="18"/>
      <c r="CM1204" s="18"/>
      <c r="CN1204" s="18"/>
      <c r="CO1204" s="18"/>
      <c r="CP1204" s="221"/>
    </row>
    <row r="1205" spans="90:94" x14ac:dyDescent="0.3">
      <c r="CL1205" s="18"/>
      <c r="CM1205" s="18"/>
      <c r="CN1205" s="18"/>
      <c r="CO1205" s="18"/>
      <c r="CP1205" s="221"/>
    </row>
    <row r="1206" spans="90:94" x14ac:dyDescent="0.3">
      <c r="CL1206" s="18"/>
      <c r="CM1206" s="18"/>
      <c r="CN1206" s="18"/>
      <c r="CO1206" s="18"/>
      <c r="CP1206" s="221"/>
    </row>
    <row r="1207" spans="90:94" x14ac:dyDescent="0.3">
      <c r="CL1207" s="18"/>
      <c r="CM1207" s="18"/>
      <c r="CN1207" s="18"/>
      <c r="CO1207" s="18"/>
      <c r="CP1207" s="221"/>
    </row>
    <row r="1208" spans="90:94" x14ac:dyDescent="0.3">
      <c r="CL1208" s="18"/>
      <c r="CM1208" s="18"/>
      <c r="CN1208" s="18"/>
      <c r="CO1208" s="18"/>
      <c r="CP1208" s="221"/>
    </row>
    <row r="1209" spans="90:94" x14ac:dyDescent="0.3">
      <c r="CL1209" s="18"/>
      <c r="CM1209" s="18"/>
      <c r="CN1209" s="18"/>
      <c r="CO1209" s="18"/>
      <c r="CP1209" s="221"/>
    </row>
    <row r="1210" spans="90:94" x14ac:dyDescent="0.3">
      <c r="CL1210" s="18"/>
      <c r="CM1210" s="18"/>
      <c r="CN1210" s="18"/>
      <c r="CO1210" s="18"/>
      <c r="CP1210" s="221"/>
    </row>
    <row r="1211" spans="90:94" x14ac:dyDescent="0.3">
      <c r="CL1211" s="18"/>
      <c r="CM1211" s="18"/>
      <c r="CN1211" s="18"/>
      <c r="CO1211" s="18"/>
      <c r="CP1211" s="221"/>
    </row>
    <row r="1212" spans="90:94" x14ac:dyDescent="0.3">
      <c r="CL1212" s="18"/>
      <c r="CM1212" s="18"/>
      <c r="CN1212" s="18"/>
      <c r="CO1212" s="18"/>
      <c r="CP1212" s="221"/>
    </row>
    <row r="1213" spans="90:94" x14ac:dyDescent="0.3">
      <c r="CL1213" s="18"/>
      <c r="CM1213" s="18"/>
      <c r="CN1213" s="18"/>
      <c r="CO1213" s="18"/>
      <c r="CP1213" s="221"/>
    </row>
    <row r="1214" spans="90:94" x14ac:dyDescent="0.3">
      <c r="CL1214" s="18"/>
      <c r="CM1214" s="18"/>
      <c r="CN1214" s="18"/>
      <c r="CO1214" s="18"/>
      <c r="CP1214" s="221"/>
    </row>
    <row r="1215" spans="90:94" x14ac:dyDescent="0.3">
      <c r="CL1215" s="18"/>
      <c r="CM1215" s="18"/>
      <c r="CN1215" s="18"/>
      <c r="CO1215" s="18"/>
      <c r="CP1215" s="221"/>
    </row>
    <row r="1216" spans="90:94" x14ac:dyDescent="0.3">
      <c r="CL1216" s="18"/>
      <c r="CM1216" s="18"/>
      <c r="CN1216" s="18"/>
      <c r="CO1216" s="18"/>
      <c r="CP1216" s="221"/>
    </row>
    <row r="1217" spans="90:94" x14ac:dyDescent="0.3">
      <c r="CL1217" s="18"/>
      <c r="CM1217" s="18"/>
      <c r="CN1217" s="18"/>
      <c r="CO1217" s="18"/>
      <c r="CP1217" s="221"/>
    </row>
    <row r="1218" spans="90:94" x14ac:dyDescent="0.3">
      <c r="CL1218" s="18"/>
      <c r="CM1218" s="18"/>
      <c r="CN1218" s="18"/>
      <c r="CO1218" s="18"/>
      <c r="CP1218" s="221"/>
    </row>
    <row r="1219" spans="90:94" x14ac:dyDescent="0.3">
      <c r="CL1219" s="18"/>
      <c r="CM1219" s="18"/>
      <c r="CN1219" s="18"/>
      <c r="CO1219" s="18"/>
      <c r="CP1219" s="221"/>
    </row>
    <row r="1220" spans="90:94" x14ac:dyDescent="0.3">
      <c r="CL1220" s="18"/>
      <c r="CM1220" s="18"/>
      <c r="CN1220" s="18"/>
      <c r="CO1220" s="18"/>
      <c r="CP1220" s="221"/>
    </row>
    <row r="1221" spans="90:94" x14ac:dyDescent="0.3">
      <c r="CL1221" s="18"/>
      <c r="CM1221" s="18"/>
      <c r="CN1221" s="18"/>
      <c r="CO1221" s="18"/>
      <c r="CP1221" s="221"/>
    </row>
    <row r="1222" spans="90:94" x14ac:dyDescent="0.3">
      <c r="CL1222" s="18"/>
      <c r="CM1222" s="18"/>
      <c r="CN1222" s="18"/>
      <c r="CO1222" s="18"/>
      <c r="CP1222" s="221"/>
    </row>
    <row r="1223" spans="90:94" x14ac:dyDescent="0.3">
      <c r="CL1223" s="18"/>
      <c r="CM1223" s="18"/>
      <c r="CN1223" s="18"/>
      <c r="CO1223" s="18"/>
      <c r="CP1223" s="221"/>
    </row>
    <row r="1224" spans="90:94" x14ac:dyDescent="0.3">
      <c r="CL1224" s="18"/>
      <c r="CM1224" s="18"/>
      <c r="CN1224" s="18"/>
      <c r="CO1224" s="18"/>
      <c r="CP1224" s="221"/>
    </row>
    <row r="1225" spans="90:94" x14ac:dyDescent="0.3">
      <c r="CL1225" s="18"/>
      <c r="CM1225" s="18"/>
      <c r="CN1225" s="18"/>
      <c r="CO1225" s="18"/>
      <c r="CP1225" s="221"/>
    </row>
    <row r="1226" spans="90:94" x14ac:dyDescent="0.3">
      <c r="CL1226" s="18"/>
      <c r="CM1226" s="18"/>
      <c r="CN1226" s="18"/>
      <c r="CO1226" s="18"/>
      <c r="CP1226" s="221"/>
    </row>
    <row r="1227" spans="90:94" x14ac:dyDescent="0.3">
      <c r="CL1227" s="18"/>
      <c r="CM1227" s="18"/>
      <c r="CN1227" s="18"/>
      <c r="CO1227" s="18"/>
      <c r="CP1227" s="221"/>
    </row>
    <row r="1228" spans="90:94" x14ac:dyDescent="0.3">
      <c r="CL1228" s="18"/>
      <c r="CM1228" s="18"/>
      <c r="CN1228" s="18"/>
      <c r="CO1228" s="18"/>
      <c r="CP1228" s="221"/>
    </row>
    <row r="1229" spans="90:94" x14ac:dyDescent="0.3">
      <c r="CL1229" s="18"/>
      <c r="CM1229" s="18"/>
      <c r="CN1229" s="18"/>
      <c r="CO1229" s="18"/>
      <c r="CP1229" s="221"/>
    </row>
    <row r="1230" spans="90:94" x14ac:dyDescent="0.3">
      <c r="CL1230" s="18"/>
      <c r="CM1230" s="18"/>
      <c r="CN1230" s="18"/>
      <c r="CO1230" s="18"/>
      <c r="CP1230" s="221"/>
    </row>
    <row r="1231" spans="90:94" x14ac:dyDescent="0.3">
      <c r="CL1231" s="18"/>
      <c r="CM1231" s="18"/>
      <c r="CN1231" s="18"/>
      <c r="CO1231" s="18"/>
      <c r="CP1231" s="221"/>
    </row>
    <row r="1232" spans="90:94" x14ac:dyDescent="0.3">
      <c r="CL1232" s="18"/>
      <c r="CM1232" s="18"/>
      <c r="CN1232" s="18"/>
      <c r="CO1232" s="18"/>
      <c r="CP1232" s="221"/>
    </row>
    <row r="1233" spans="90:94" x14ac:dyDescent="0.3">
      <c r="CL1233" s="18"/>
      <c r="CM1233" s="18"/>
      <c r="CN1233" s="18"/>
      <c r="CO1233" s="18"/>
      <c r="CP1233" s="221"/>
    </row>
    <row r="1234" spans="90:94" x14ac:dyDescent="0.3">
      <c r="CL1234" s="18"/>
      <c r="CM1234" s="18"/>
      <c r="CN1234" s="18"/>
      <c r="CO1234" s="18"/>
      <c r="CP1234" s="221"/>
    </row>
    <row r="1235" spans="90:94" x14ac:dyDescent="0.3">
      <c r="CL1235" s="18"/>
      <c r="CM1235" s="18"/>
      <c r="CN1235" s="18"/>
      <c r="CO1235" s="18"/>
      <c r="CP1235" s="221"/>
    </row>
    <row r="1236" spans="90:94" x14ac:dyDescent="0.3">
      <c r="CL1236" s="18"/>
      <c r="CM1236" s="18"/>
      <c r="CN1236" s="18"/>
      <c r="CO1236" s="18"/>
      <c r="CP1236" s="221"/>
    </row>
    <row r="1237" spans="90:94" x14ac:dyDescent="0.3">
      <c r="CL1237" s="18"/>
      <c r="CM1237" s="18"/>
      <c r="CN1237" s="18"/>
      <c r="CO1237" s="18"/>
      <c r="CP1237" s="221"/>
    </row>
    <row r="1238" spans="90:94" x14ac:dyDescent="0.3">
      <c r="CL1238" s="18"/>
      <c r="CM1238" s="18"/>
      <c r="CN1238" s="18"/>
      <c r="CO1238" s="18"/>
      <c r="CP1238" s="221"/>
    </row>
    <row r="1239" spans="90:94" x14ac:dyDescent="0.3">
      <c r="CL1239" s="18"/>
      <c r="CM1239" s="18"/>
      <c r="CN1239" s="18"/>
      <c r="CO1239" s="18"/>
      <c r="CP1239" s="221"/>
    </row>
    <row r="1240" spans="90:94" x14ac:dyDescent="0.3">
      <c r="CL1240" s="18"/>
      <c r="CM1240" s="18"/>
      <c r="CN1240" s="18"/>
      <c r="CO1240" s="18"/>
      <c r="CP1240" s="221"/>
    </row>
    <row r="1241" spans="90:94" x14ac:dyDescent="0.3">
      <c r="CL1241" s="18"/>
      <c r="CM1241" s="18"/>
      <c r="CN1241" s="18"/>
      <c r="CO1241" s="18"/>
      <c r="CP1241" s="221"/>
    </row>
    <row r="1242" spans="90:94" x14ac:dyDescent="0.3">
      <c r="CL1242" s="18"/>
      <c r="CM1242" s="18"/>
      <c r="CN1242" s="18"/>
      <c r="CO1242" s="18"/>
      <c r="CP1242" s="221"/>
    </row>
    <row r="1243" spans="90:94" x14ac:dyDescent="0.3">
      <c r="CL1243" s="18"/>
      <c r="CM1243" s="18"/>
      <c r="CN1243" s="18"/>
      <c r="CO1243" s="18"/>
      <c r="CP1243" s="221"/>
    </row>
    <row r="1244" spans="90:94" x14ac:dyDescent="0.3">
      <c r="CL1244" s="18"/>
      <c r="CM1244" s="18"/>
      <c r="CN1244" s="18"/>
      <c r="CO1244" s="18"/>
      <c r="CP1244" s="221"/>
    </row>
    <row r="1245" spans="90:94" x14ac:dyDescent="0.3">
      <c r="CL1245" s="18"/>
      <c r="CM1245" s="18"/>
      <c r="CN1245" s="18"/>
      <c r="CO1245" s="18"/>
      <c r="CP1245" s="221"/>
    </row>
    <row r="1246" spans="90:94" x14ac:dyDescent="0.3">
      <c r="CL1246" s="18"/>
      <c r="CM1246" s="18"/>
      <c r="CN1246" s="18"/>
      <c r="CO1246" s="18"/>
      <c r="CP1246" s="221"/>
    </row>
    <row r="1247" spans="90:94" x14ac:dyDescent="0.3">
      <c r="CL1247" s="18"/>
      <c r="CM1247" s="18"/>
      <c r="CN1247" s="18"/>
      <c r="CO1247" s="18"/>
      <c r="CP1247" s="221"/>
    </row>
    <row r="1248" spans="90:94" x14ac:dyDescent="0.3">
      <c r="CL1248" s="18"/>
      <c r="CM1248" s="18"/>
      <c r="CN1248" s="18"/>
      <c r="CO1248" s="18"/>
      <c r="CP1248" s="221"/>
    </row>
    <row r="1249" spans="90:94" x14ac:dyDescent="0.3">
      <c r="CL1249" s="18"/>
      <c r="CM1249" s="18"/>
      <c r="CN1249" s="18"/>
      <c r="CO1249" s="18"/>
      <c r="CP1249" s="221"/>
    </row>
    <row r="1250" spans="90:94" x14ac:dyDescent="0.3">
      <c r="CL1250" s="18"/>
      <c r="CM1250" s="18"/>
      <c r="CN1250" s="18"/>
      <c r="CO1250" s="18"/>
      <c r="CP1250" s="221"/>
    </row>
    <row r="1251" spans="90:94" x14ac:dyDescent="0.3">
      <c r="CL1251" s="18"/>
      <c r="CM1251" s="18"/>
      <c r="CN1251" s="18"/>
      <c r="CO1251" s="18"/>
      <c r="CP1251" s="221"/>
    </row>
    <row r="1252" spans="90:94" x14ac:dyDescent="0.3">
      <c r="CL1252" s="18"/>
      <c r="CM1252" s="18"/>
      <c r="CN1252" s="18"/>
      <c r="CO1252" s="18"/>
      <c r="CP1252" s="221"/>
    </row>
    <row r="1253" spans="90:94" x14ac:dyDescent="0.3">
      <c r="CL1253" s="18"/>
      <c r="CM1253" s="18"/>
      <c r="CN1253" s="18"/>
      <c r="CO1253" s="18"/>
      <c r="CP1253" s="221"/>
    </row>
    <row r="1254" spans="90:94" x14ac:dyDescent="0.3">
      <c r="CL1254" s="18"/>
      <c r="CM1254" s="18"/>
      <c r="CN1254" s="18"/>
      <c r="CO1254" s="18"/>
      <c r="CP1254" s="221"/>
    </row>
    <row r="1255" spans="90:94" x14ac:dyDescent="0.3">
      <c r="CL1255" s="18"/>
      <c r="CM1255" s="18"/>
      <c r="CN1255" s="18"/>
      <c r="CO1255" s="18"/>
      <c r="CP1255" s="221"/>
    </row>
    <row r="1256" spans="90:94" x14ac:dyDescent="0.3">
      <c r="CL1256" s="18"/>
      <c r="CM1256" s="18"/>
      <c r="CN1256" s="18"/>
      <c r="CO1256" s="18"/>
      <c r="CP1256" s="221"/>
    </row>
    <row r="1257" spans="90:94" x14ac:dyDescent="0.3">
      <c r="CL1257" s="18"/>
      <c r="CM1257" s="18"/>
      <c r="CN1257" s="18"/>
      <c r="CO1257" s="18"/>
      <c r="CP1257" s="221"/>
    </row>
    <row r="1258" spans="90:94" x14ac:dyDescent="0.3">
      <c r="CL1258" s="18"/>
      <c r="CM1258" s="18"/>
      <c r="CN1258" s="18"/>
      <c r="CO1258" s="18"/>
      <c r="CP1258" s="221"/>
    </row>
    <row r="1259" spans="90:94" x14ac:dyDescent="0.3">
      <c r="CL1259" s="18"/>
      <c r="CM1259" s="18"/>
      <c r="CN1259" s="18"/>
      <c r="CO1259" s="18"/>
      <c r="CP1259" s="221"/>
    </row>
    <row r="1260" spans="90:94" x14ac:dyDescent="0.3">
      <c r="CL1260" s="18"/>
      <c r="CM1260" s="18"/>
      <c r="CN1260" s="18"/>
      <c r="CO1260" s="18"/>
      <c r="CP1260" s="221"/>
    </row>
    <row r="1261" spans="90:94" x14ac:dyDescent="0.3">
      <c r="CL1261" s="18"/>
      <c r="CM1261" s="18"/>
      <c r="CN1261" s="18"/>
      <c r="CO1261" s="18"/>
      <c r="CP1261" s="221"/>
    </row>
    <row r="1262" spans="90:94" x14ac:dyDescent="0.3">
      <c r="CL1262" s="18"/>
      <c r="CM1262" s="18"/>
      <c r="CN1262" s="18"/>
      <c r="CO1262" s="18"/>
      <c r="CP1262" s="221"/>
    </row>
    <row r="1263" spans="90:94" x14ac:dyDescent="0.3">
      <c r="CL1263" s="18"/>
      <c r="CM1263" s="18"/>
      <c r="CN1263" s="18"/>
      <c r="CO1263" s="18"/>
      <c r="CP1263" s="221"/>
    </row>
    <row r="1264" spans="90:94" x14ac:dyDescent="0.3">
      <c r="CL1264" s="18"/>
      <c r="CM1264" s="18"/>
      <c r="CN1264" s="18"/>
      <c r="CO1264" s="18"/>
      <c r="CP1264" s="221"/>
    </row>
    <row r="1265" spans="90:94" x14ac:dyDescent="0.3">
      <c r="CL1265" s="18"/>
      <c r="CM1265" s="18"/>
      <c r="CN1265" s="18"/>
      <c r="CO1265" s="18"/>
      <c r="CP1265" s="221"/>
    </row>
    <row r="1266" spans="90:94" x14ac:dyDescent="0.3">
      <c r="CL1266" s="18"/>
      <c r="CM1266" s="18"/>
      <c r="CN1266" s="18"/>
      <c r="CO1266" s="18"/>
      <c r="CP1266" s="221"/>
    </row>
    <row r="1267" spans="90:94" x14ac:dyDescent="0.3">
      <c r="CL1267" s="18"/>
      <c r="CM1267" s="18"/>
      <c r="CN1267" s="18"/>
      <c r="CO1267" s="18"/>
      <c r="CP1267" s="221"/>
    </row>
    <row r="1268" spans="90:94" x14ac:dyDescent="0.3">
      <c r="CL1268" s="18"/>
      <c r="CM1268" s="18"/>
      <c r="CN1268" s="18"/>
      <c r="CO1268" s="18"/>
      <c r="CP1268" s="221"/>
    </row>
    <row r="1269" spans="90:94" x14ac:dyDescent="0.3">
      <c r="CL1269" s="18"/>
      <c r="CM1269" s="18"/>
      <c r="CN1269" s="18"/>
      <c r="CO1269" s="18"/>
      <c r="CP1269" s="221"/>
    </row>
    <row r="1270" spans="90:94" x14ac:dyDescent="0.3">
      <c r="CL1270" s="18"/>
      <c r="CM1270" s="18"/>
      <c r="CN1270" s="18"/>
      <c r="CO1270" s="18"/>
      <c r="CP1270" s="221"/>
    </row>
    <row r="1271" spans="90:94" x14ac:dyDescent="0.3">
      <c r="CL1271" s="18"/>
      <c r="CM1271" s="18"/>
      <c r="CN1271" s="18"/>
      <c r="CO1271" s="18"/>
      <c r="CP1271" s="221"/>
    </row>
    <row r="1272" spans="90:94" x14ac:dyDescent="0.3">
      <c r="CL1272" s="18"/>
      <c r="CM1272" s="18"/>
      <c r="CN1272" s="18"/>
      <c r="CO1272" s="18"/>
      <c r="CP1272" s="221"/>
    </row>
    <row r="1273" spans="90:94" x14ac:dyDescent="0.3">
      <c r="CL1273" s="18"/>
      <c r="CM1273" s="18"/>
      <c r="CN1273" s="18"/>
      <c r="CO1273" s="18"/>
      <c r="CP1273" s="221"/>
    </row>
    <row r="1274" spans="90:94" x14ac:dyDescent="0.3">
      <c r="CL1274" s="18"/>
      <c r="CM1274" s="18"/>
      <c r="CN1274" s="18"/>
      <c r="CO1274" s="18"/>
      <c r="CP1274" s="221"/>
    </row>
    <row r="1275" spans="90:94" x14ac:dyDescent="0.3">
      <c r="CL1275" s="18"/>
      <c r="CM1275" s="18"/>
      <c r="CN1275" s="18"/>
      <c r="CO1275" s="18"/>
      <c r="CP1275" s="221"/>
    </row>
    <row r="1276" spans="90:94" x14ac:dyDescent="0.3">
      <c r="CL1276" s="18"/>
      <c r="CM1276" s="18"/>
      <c r="CN1276" s="18"/>
      <c r="CO1276" s="18"/>
      <c r="CP1276" s="221"/>
    </row>
    <row r="1277" spans="90:94" x14ac:dyDescent="0.3">
      <c r="CL1277" s="18"/>
      <c r="CM1277" s="18"/>
      <c r="CN1277" s="18"/>
      <c r="CO1277" s="18"/>
      <c r="CP1277" s="221"/>
    </row>
    <row r="1278" spans="90:94" x14ac:dyDescent="0.3">
      <c r="CL1278" s="18"/>
      <c r="CM1278" s="18"/>
      <c r="CN1278" s="18"/>
      <c r="CO1278" s="18"/>
      <c r="CP1278" s="221"/>
    </row>
    <row r="1279" spans="90:94" x14ac:dyDescent="0.3">
      <c r="CL1279" s="18"/>
      <c r="CM1279" s="18"/>
      <c r="CN1279" s="18"/>
      <c r="CO1279" s="18"/>
      <c r="CP1279" s="221"/>
    </row>
    <row r="1280" spans="90:94" x14ac:dyDescent="0.3">
      <c r="CL1280" s="18"/>
      <c r="CM1280" s="18"/>
      <c r="CN1280" s="18"/>
      <c r="CO1280" s="18"/>
      <c r="CP1280" s="221"/>
    </row>
    <row r="1281" spans="90:94" x14ac:dyDescent="0.3">
      <c r="CL1281" s="18"/>
      <c r="CM1281" s="18"/>
      <c r="CN1281" s="18"/>
      <c r="CO1281" s="18"/>
      <c r="CP1281" s="221"/>
    </row>
    <row r="1282" spans="90:94" x14ac:dyDescent="0.3">
      <c r="CL1282" s="18"/>
      <c r="CM1282" s="18"/>
      <c r="CN1282" s="18"/>
      <c r="CO1282" s="18"/>
      <c r="CP1282" s="221"/>
    </row>
    <row r="1283" spans="90:94" x14ac:dyDescent="0.3">
      <c r="CL1283" s="18"/>
      <c r="CM1283" s="18"/>
      <c r="CN1283" s="18"/>
      <c r="CO1283" s="18"/>
      <c r="CP1283" s="221"/>
    </row>
    <row r="1284" spans="90:94" x14ac:dyDescent="0.3">
      <c r="CL1284" s="18"/>
      <c r="CM1284" s="18"/>
      <c r="CN1284" s="18"/>
      <c r="CO1284" s="18"/>
      <c r="CP1284" s="221"/>
    </row>
    <row r="1285" spans="90:94" x14ac:dyDescent="0.3">
      <c r="CL1285" s="18"/>
      <c r="CM1285" s="18"/>
      <c r="CN1285" s="18"/>
      <c r="CO1285" s="18"/>
      <c r="CP1285" s="221"/>
    </row>
    <row r="1286" spans="90:94" x14ac:dyDescent="0.3">
      <c r="CL1286" s="18"/>
      <c r="CM1286" s="18"/>
      <c r="CN1286" s="18"/>
      <c r="CO1286" s="18"/>
      <c r="CP1286" s="221"/>
    </row>
    <row r="1287" spans="90:94" x14ac:dyDescent="0.3">
      <c r="CL1287" s="18"/>
      <c r="CM1287" s="18"/>
      <c r="CN1287" s="18"/>
      <c r="CO1287" s="18"/>
      <c r="CP1287" s="221"/>
    </row>
    <row r="1288" spans="90:94" x14ac:dyDescent="0.3">
      <c r="CL1288" s="18"/>
      <c r="CM1288" s="18"/>
      <c r="CN1288" s="18"/>
      <c r="CO1288" s="18"/>
      <c r="CP1288" s="221"/>
    </row>
    <row r="1289" spans="90:94" x14ac:dyDescent="0.3">
      <c r="CL1289" s="18"/>
      <c r="CM1289" s="18"/>
      <c r="CN1289" s="18"/>
      <c r="CO1289" s="18"/>
      <c r="CP1289" s="221"/>
    </row>
    <row r="1290" spans="90:94" x14ac:dyDescent="0.3">
      <c r="CL1290" s="18"/>
      <c r="CM1290" s="18"/>
      <c r="CN1290" s="18"/>
      <c r="CO1290" s="18"/>
      <c r="CP1290" s="221"/>
    </row>
    <row r="1291" spans="90:94" x14ac:dyDescent="0.3">
      <c r="CL1291" s="18"/>
      <c r="CM1291" s="18"/>
      <c r="CN1291" s="18"/>
      <c r="CO1291" s="18"/>
      <c r="CP1291" s="221"/>
    </row>
    <row r="1292" spans="90:94" x14ac:dyDescent="0.3">
      <c r="CL1292" s="18"/>
      <c r="CM1292" s="18"/>
      <c r="CN1292" s="18"/>
      <c r="CO1292" s="18"/>
      <c r="CP1292" s="221"/>
    </row>
    <row r="1293" spans="90:94" x14ac:dyDescent="0.3">
      <c r="CL1293" s="18"/>
      <c r="CM1293" s="18"/>
      <c r="CN1293" s="18"/>
      <c r="CO1293" s="18"/>
      <c r="CP1293" s="221"/>
    </row>
    <row r="1294" spans="90:94" x14ac:dyDescent="0.3">
      <c r="CL1294" s="18"/>
      <c r="CM1294" s="18"/>
      <c r="CN1294" s="18"/>
      <c r="CO1294" s="18"/>
      <c r="CP1294" s="221"/>
    </row>
    <row r="1295" spans="90:94" x14ac:dyDescent="0.3">
      <c r="CL1295" s="18"/>
      <c r="CM1295" s="18"/>
      <c r="CN1295" s="18"/>
      <c r="CO1295" s="18"/>
      <c r="CP1295" s="221"/>
    </row>
    <row r="1296" spans="90:94" x14ac:dyDescent="0.3">
      <c r="CL1296" s="18"/>
      <c r="CM1296" s="18"/>
      <c r="CN1296" s="18"/>
      <c r="CO1296" s="18"/>
      <c r="CP1296" s="221"/>
    </row>
    <row r="1297" spans="90:94" x14ac:dyDescent="0.3">
      <c r="CL1297" s="18"/>
      <c r="CM1297" s="18"/>
      <c r="CN1297" s="18"/>
      <c r="CO1297" s="18"/>
      <c r="CP1297" s="221"/>
    </row>
    <row r="1298" spans="90:94" x14ac:dyDescent="0.3">
      <c r="CL1298" s="18"/>
      <c r="CM1298" s="18"/>
      <c r="CN1298" s="18"/>
      <c r="CO1298" s="18"/>
      <c r="CP1298" s="221"/>
    </row>
    <row r="1299" spans="90:94" x14ac:dyDescent="0.3">
      <c r="CL1299" s="18"/>
      <c r="CM1299" s="18"/>
      <c r="CN1299" s="18"/>
      <c r="CO1299" s="18"/>
      <c r="CP1299" s="221"/>
    </row>
    <row r="1300" spans="90:94" x14ac:dyDescent="0.3">
      <c r="CL1300" s="18"/>
      <c r="CM1300" s="18"/>
      <c r="CN1300" s="18"/>
      <c r="CO1300" s="18"/>
      <c r="CP1300" s="221"/>
    </row>
    <row r="1301" spans="90:94" x14ac:dyDescent="0.3">
      <c r="CL1301" s="18"/>
      <c r="CM1301" s="18"/>
      <c r="CN1301" s="18"/>
      <c r="CO1301" s="18"/>
      <c r="CP1301" s="221"/>
    </row>
    <row r="1302" spans="90:94" x14ac:dyDescent="0.3">
      <c r="CL1302" s="18"/>
      <c r="CM1302" s="18"/>
      <c r="CN1302" s="18"/>
      <c r="CO1302" s="18"/>
      <c r="CP1302" s="221"/>
    </row>
    <row r="1303" spans="90:94" x14ac:dyDescent="0.3">
      <c r="CL1303" s="18"/>
      <c r="CM1303" s="18"/>
      <c r="CN1303" s="18"/>
      <c r="CO1303" s="18"/>
      <c r="CP1303" s="221"/>
    </row>
    <row r="1304" spans="90:94" x14ac:dyDescent="0.3">
      <c r="CL1304" s="18"/>
      <c r="CM1304" s="18"/>
      <c r="CN1304" s="18"/>
      <c r="CO1304" s="18"/>
      <c r="CP1304" s="221"/>
    </row>
    <row r="1305" spans="90:94" x14ac:dyDescent="0.3">
      <c r="CL1305" s="18"/>
      <c r="CM1305" s="18"/>
      <c r="CN1305" s="18"/>
      <c r="CO1305" s="18"/>
      <c r="CP1305" s="221"/>
    </row>
    <row r="1306" spans="90:94" x14ac:dyDescent="0.3">
      <c r="CL1306" s="18"/>
      <c r="CM1306" s="18"/>
      <c r="CN1306" s="18"/>
      <c r="CO1306" s="18"/>
      <c r="CP1306" s="221"/>
    </row>
    <row r="1307" spans="90:94" x14ac:dyDescent="0.3">
      <c r="CL1307" s="18"/>
      <c r="CM1307" s="18"/>
      <c r="CN1307" s="18"/>
      <c r="CO1307" s="18"/>
      <c r="CP1307" s="221"/>
    </row>
    <row r="1308" spans="90:94" x14ac:dyDescent="0.3">
      <c r="CL1308" s="18"/>
      <c r="CM1308" s="18"/>
      <c r="CN1308" s="18"/>
      <c r="CO1308" s="18"/>
      <c r="CP1308" s="221"/>
    </row>
    <row r="1309" spans="90:94" x14ac:dyDescent="0.3">
      <c r="CL1309" s="18"/>
      <c r="CM1309" s="18"/>
      <c r="CN1309" s="18"/>
      <c r="CO1309" s="18"/>
      <c r="CP1309" s="221"/>
    </row>
    <row r="1310" spans="90:94" x14ac:dyDescent="0.3">
      <c r="CL1310" s="18"/>
      <c r="CM1310" s="18"/>
      <c r="CN1310" s="18"/>
      <c r="CO1310" s="18"/>
      <c r="CP1310" s="221"/>
    </row>
    <row r="1311" spans="90:94" x14ac:dyDescent="0.3">
      <c r="CL1311" s="18"/>
      <c r="CM1311" s="18"/>
      <c r="CN1311" s="18"/>
      <c r="CO1311" s="18"/>
      <c r="CP1311" s="221"/>
    </row>
    <row r="1312" spans="90:94" x14ac:dyDescent="0.3">
      <c r="CL1312" s="18"/>
      <c r="CM1312" s="18"/>
      <c r="CN1312" s="18"/>
      <c r="CO1312" s="18"/>
      <c r="CP1312" s="221"/>
    </row>
    <row r="1313" spans="90:94" x14ac:dyDescent="0.3">
      <c r="CL1313" s="18"/>
      <c r="CM1313" s="18"/>
      <c r="CN1313" s="18"/>
      <c r="CO1313" s="18"/>
      <c r="CP1313" s="221"/>
    </row>
    <row r="1314" spans="90:94" x14ac:dyDescent="0.3">
      <c r="CL1314" s="18"/>
      <c r="CM1314" s="18"/>
      <c r="CN1314" s="18"/>
      <c r="CO1314" s="18"/>
      <c r="CP1314" s="221"/>
    </row>
    <row r="1315" spans="90:94" x14ac:dyDescent="0.3">
      <c r="CL1315" s="18"/>
      <c r="CM1315" s="18"/>
      <c r="CN1315" s="18"/>
      <c r="CO1315" s="18"/>
      <c r="CP1315" s="221"/>
    </row>
    <row r="1316" spans="90:94" x14ac:dyDescent="0.3">
      <c r="CL1316" s="18"/>
      <c r="CM1316" s="18"/>
      <c r="CN1316" s="18"/>
      <c r="CO1316" s="18"/>
      <c r="CP1316" s="221"/>
    </row>
    <row r="1317" spans="90:94" x14ac:dyDescent="0.3">
      <c r="CL1317" s="18"/>
      <c r="CM1317" s="18"/>
      <c r="CN1317" s="18"/>
      <c r="CO1317" s="18"/>
      <c r="CP1317" s="221"/>
    </row>
    <row r="1318" spans="90:94" x14ac:dyDescent="0.3">
      <c r="CL1318" s="18"/>
      <c r="CM1318" s="18"/>
      <c r="CN1318" s="18"/>
      <c r="CO1318" s="18"/>
      <c r="CP1318" s="221"/>
    </row>
    <row r="1319" spans="90:94" x14ac:dyDescent="0.3">
      <c r="CL1319" s="18"/>
      <c r="CM1319" s="18"/>
      <c r="CN1319" s="18"/>
      <c r="CO1319" s="18"/>
      <c r="CP1319" s="221"/>
    </row>
    <row r="1320" spans="90:94" x14ac:dyDescent="0.3">
      <c r="CL1320" s="18"/>
      <c r="CM1320" s="18"/>
      <c r="CN1320" s="18"/>
      <c r="CO1320" s="18"/>
      <c r="CP1320" s="221"/>
    </row>
    <row r="1321" spans="90:94" x14ac:dyDescent="0.3">
      <c r="CL1321" s="18"/>
      <c r="CM1321" s="18"/>
      <c r="CN1321" s="18"/>
      <c r="CO1321" s="18"/>
      <c r="CP1321" s="221"/>
    </row>
    <row r="1322" spans="90:94" x14ac:dyDescent="0.3">
      <c r="CL1322" s="18"/>
      <c r="CM1322" s="18"/>
      <c r="CN1322" s="18"/>
      <c r="CO1322" s="18"/>
      <c r="CP1322" s="221"/>
    </row>
    <row r="1323" spans="90:94" x14ac:dyDescent="0.3">
      <c r="CL1323" s="18"/>
      <c r="CM1323" s="18"/>
      <c r="CN1323" s="18"/>
      <c r="CO1323" s="18"/>
      <c r="CP1323" s="221"/>
    </row>
    <row r="1324" spans="90:94" x14ac:dyDescent="0.3">
      <c r="CL1324" s="18"/>
      <c r="CM1324" s="18"/>
      <c r="CN1324" s="18"/>
      <c r="CO1324" s="18"/>
      <c r="CP1324" s="221"/>
    </row>
    <row r="1325" spans="90:94" x14ac:dyDescent="0.3">
      <c r="CL1325" s="18"/>
      <c r="CM1325" s="18"/>
      <c r="CN1325" s="18"/>
      <c r="CO1325" s="18"/>
      <c r="CP1325" s="221"/>
    </row>
    <row r="1326" spans="90:94" x14ac:dyDescent="0.3">
      <c r="CL1326" s="18"/>
      <c r="CM1326" s="18"/>
      <c r="CN1326" s="18"/>
      <c r="CO1326" s="18"/>
      <c r="CP1326" s="221"/>
    </row>
    <row r="1327" spans="90:94" x14ac:dyDescent="0.3">
      <c r="CL1327" s="18"/>
      <c r="CM1327" s="18"/>
      <c r="CN1327" s="18"/>
      <c r="CO1327" s="18"/>
      <c r="CP1327" s="221"/>
    </row>
    <row r="1328" spans="90:94" x14ac:dyDescent="0.3">
      <c r="CL1328" s="18"/>
      <c r="CM1328" s="18"/>
      <c r="CN1328" s="18"/>
      <c r="CO1328" s="18"/>
      <c r="CP1328" s="221"/>
    </row>
    <row r="1329" spans="90:94" x14ac:dyDescent="0.3">
      <c r="CL1329" s="18"/>
      <c r="CM1329" s="18"/>
      <c r="CN1329" s="18"/>
      <c r="CO1329" s="18"/>
      <c r="CP1329" s="221"/>
    </row>
    <row r="1330" spans="90:94" x14ac:dyDescent="0.3">
      <c r="CL1330" s="18"/>
      <c r="CM1330" s="18"/>
      <c r="CN1330" s="18"/>
      <c r="CO1330" s="18"/>
      <c r="CP1330" s="221"/>
    </row>
    <row r="1331" spans="90:94" x14ac:dyDescent="0.3">
      <c r="CL1331" s="18"/>
      <c r="CM1331" s="18"/>
      <c r="CN1331" s="18"/>
      <c r="CO1331" s="18"/>
      <c r="CP1331" s="221"/>
    </row>
    <row r="1332" spans="90:94" x14ac:dyDescent="0.3">
      <c r="CL1332" s="18"/>
      <c r="CM1332" s="18"/>
      <c r="CN1332" s="18"/>
      <c r="CO1332" s="18"/>
      <c r="CP1332" s="221"/>
    </row>
    <row r="1333" spans="90:94" x14ac:dyDescent="0.3">
      <c r="CL1333" s="18"/>
      <c r="CM1333" s="18"/>
      <c r="CN1333" s="18"/>
      <c r="CO1333" s="18"/>
      <c r="CP1333" s="221"/>
    </row>
    <row r="1334" spans="90:94" x14ac:dyDescent="0.3">
      <c r="CL1334" s="18"/>
      <c r="CM1334" s="18"/>
      <c r="CN1334" s="18"/>
      <c r="CO1334" s="18"/>
      <c r="CP1334" s="221"/>
    </row>
    <row r="1335" spans="90:94" x14ac:dyDescent="0.3">
      <c r="CL1335" s="18"/>
      <c r="CM1335" s="18"/>
      <c r="CN1335" s="18"/>
      <c r="CO1335" s="18"/>
      <c r="CP1335" s="221"/>
    </row>
    <row r="1336" spans="90:94" x14ac:dyDescent="0.3">
      <c r="CL1336" s="18"/>
      <c r="CM1336" s="18"/>
      <c r="CN1336" s="18"/>
      <c r="CO1336" s="18"/>
      <c r="CP1336" s="221"/>
    </row>
    <row r="1337" spans="90:94" x14ac:dyDescent="0.3">
      <c r="CL1337" s="18"/>
      <c r="CM1337" s="18"/>
      <c r="CN1337" s="20"/>
      <c r="CO1337" s="18"/>
      <c r="CP1337" s="219"/>
    </row>
    <row r="1338" spans="90:94" x14ac:dyDescent="0.3">
      <c r="CL1338" s="18"/>
      <c r="CM1338" s="18"/>
      <c r="CN1338" s="18"/>
      <c r="CO1338" s="18"/>
      <c r="CP1338" s="219"/>
    </row>
    <row r="1339" spans="90:94" x14ac:dyDescent="0.3">
      <c r="CL1339" s="18"/>
      <c r="CM1339" s="18"/>
      <c r="CN1339" s="18"/>
      <c r="CO1339" s="18"/>
      <c r="CP1339" s="219"/>
    </row>
    <row r="1340" spans="90:94" x14ac:dyDescent="0.3">
      <c r="CL1340" s="18"/>
      <c r="CM1340" s="18"/>
      <c r="CN1340" s="18"/>
      <c r="CO1340" s="18"/>
      <c r="CP1340" s="219"/>
    </row>
    <row r="1341" spans="90:94" x14ac:dyDescent="0.3">
      <c r="CL1341" s="18"/>
      <c r="CM1341" s="18"/>
      <c r="CN1341" s="18"/>
      <c r="CO1341" s="18"/>
      <c r="CP1341" s="219"/>
    </row>
    <row r="1342" spans="90:94" x14ac:dyDescent="0.3">
      <c r="CL1342" s="18"/>
      <c r="CM1342" s="18"/>
      <c r="CN1342" s="18"/>
      <c r="CO1342" s="18"/>
      <c r="CP1342" s="219"/>
    </row>
    <row r="1343" spans="90:94" x14ac:dyDescent="0.3">
      <c r="CL1343" s="18"/>
      <c r="CM1343" s="18"/>
      <c r="CN1343" s="18"/>
      <c r="CO1343" s="18"/>
      <c r="CP1343" s="219"/>
    </row>
    <row r="1344" spans="90:94" x14ac:dyDescent="0.3">
      <c r="CL1344" s="18"/>
      <c r="CM1344" s="18"/>
      <c r="CN1344" s="18"/>
      <c r="CO1344" s="18"/>
      <c r="CP1344" s="219"/>
    </row>
    <row r="1345" spans="90:94" x14ac:dyDescent="0.3">
      <c r="CL1345" s="18"/>
      <c r="CM1345" s="18"/>
      <c r="CN1345" s="18"/>
      <c r="CO1345" s="18"/>
      <c r="CP1345" s="219"/>
    </row>
    <row r="1346" spans="90:94" x14ac:dyDescent="0.3">
      <c r="CL1346" s="18"/>
      <c r="CM1346" s="18"/>
      <c r="CN1346" s="18"/>
      <c r="CO1346" s="18"/>
      <c r="CP1346" s="219"/>
    </row>
    <row r="1347" spans="90:94" x14ac:dyDescent="0.3">
      <c r="CL1347" s="18"/>
      <c r="CM1347" s="18"/>
      <c r="CN1347" s="18"/>
      <c r="CO1347" s="18"/>
      <c r="CP1347" s="219"/>
    </row>
    <row r="1348" spans="90:94" x14ac:dyDescent="0.3">
      <c r="CL1348" s="18"/>
      <c r="CM1348" s="18"/>
      <c r="CN1348" s="18"/>
      <c r="CO1348" s="18"/>
      <c r="CP1348" s="219"/>
    </row>
    <row r="1349" spans="90:94" x14ac:dyDescent="0.3">
      <c r="CL1349" s="18"/>
      <c r="CM1349" s="18"/>
      <c r="CN1349" s="18"/>
      <c r="CO1349" s="18"/>
      <c r="CP1349" s="219"/>
    </row>
    <row r="1350" spans="90:94" x14ac:dyDescent="0.3">
      <c r="CL1350" s="18"/>
      <c r="CM1350" s="18"/>
      <c r="CN1350" s="18"/>
      <c r="CO1350" s="18"/>
      <c r="CP1350" s="219"/>
    </row>
    <row r="1351" spans="90:94" x14ac:dyDescent="0.3">
      <c r="CL1351" s="18"/>
      <c r="CM1351" s="18"/>
      <c r="CN1351" s="18"/>
      <c r="CO1351" s="18"/>
      <c r="CP1351" s="219"/>
    </row>
    <row r="1352" spans="90:94" x14ac:dyDescent="0.3">
      <c r="CL1352" s="18"/>
      <c r="CM1352" s="18"/>
      <c r="CN1352" s="18"/>
      <c r="CO1352" s="18"/>
      <c r="CP1352" s="219"/>
    </row>
    <row r="1353" spans="90:94" x14ac:dyDescent="0.3">
      <c r="CL1353" s="18"/>
      <c r="CM1353" s="18"/>
      <c r="CN1353" s="18"/>
      <c r="CO1353" s="18"/>
      <c r="CP1353" s="219"/>
    </row>
    <row r="1354" spans="90:94" x14ac:dyDescent="0.3">
      <c r="CL1354" s="18"/>
      <c r="CM1354" s="18"/>
      <c r="CN1354" s="18"/>
      <c r="CO1354" s="18"/>
      <c r="CP1354" s="219"/>
    </row>
    <row r="1355" spans="90:94" x14ac:dyDescent="0.3">
      <c r="CL1355" s="18"/>
      <c r="CM1355" s="18"/>
      <c r="CN1355" s="18"/>
      <c r="CO1355" s="18"/>
      <c r="CP1355" s="219"/>
    </row>
    <row r="1356" spans="90:94" x14ac:dyDescent="0.3">
      <c r="CL1356" s="18"/>
      <c r="CM1356" s="18"/>
      <c r="CN1356" s="18"/>
      <c r="CO1356" s="18"/>
      <c r="CP1356" s="219"/>
    </row>
    <row r="1357" spans="90:94" x14ac:dyDescent="0.3">
      <c r="CL1357" s="18"/>
      <c r="CM1357" s="18"/>
      <c r="CN1357" s="18"/>
      <c r="CO1357" s="18"/>
      <c r="CP1357" s="219"/>
    </row>
    <row r="1358" spans="90:94" x14ac:dyDescent="0.3">
      <c r="CL1358" s="18"/>
      <c r="CM1358" s="18"/>
      <c r="CN1358" s="18"/>
      <c r="CO1358" s="18"/>
      <c r="CP1358" s="219"/>
    </row>
    <row r="1359" spans="90:94" x14ac:dyDescent="0.3">
      <c r="CL1359" s="18"/>
      <c r="CM1359" s="18"/>
      <c r="CN1359" s="18"/>
      <c r="CO1359" s="18"/>
      <c r="CP1359" s="219"/>
    </row>
    <row r="1360" spans="90:94" x14ac:dyDescent="0.3">
      <c r="CL1360" s="18"/>
      <c r="CM1360" s="18"/>
      <c r="CN1360" s="18"/>
      <c r="CO1360" s="18"/>
      <c r="CP1360" s="219"/>
    </row>
    <row r="1361" spans="90:94" x14ac:dyDescent="0.3">
      <c r="CL1361" s="18"/>
      <c r="CM1361" s="18"/>
      <c r="CN1361" s="18"/>
      <c r="CO1361" s="18"/>
      <c r="CP1361" s="219"/>
    </row>
    <row r="1362" spans="90:94" x14ac:dyDescent="0.3">
      <c r="CL1362" s="18"/>
      <c r="CM1362" s="18"/>
      <c r="CN1362" s="18"/>
      <c r="CO1362" s="18"/>
      <c r="CP1362" s="219"/>
    </row>
    <row r="1363" spans="90:94" x14ac:dyDescent="0.3">
      <c r="CL1363" s="18"/>
      <c r="CM1363" s="18"/>
      <c r="CN1363" s="18"/>
      <c r="CO1363" s="18"/>
      <c r="CP1363" s="219"/>
    </row>
    <row r="1364" spans="90:94" x14ac:dyDescent="0.3">
      <c r="CL1364" s="18"/>
      <c r="CM1364" s="18"/>
      <c r="CN1364" s="18"/>
      <c r="CO1364" s="18"/>
      <c r="CP1364" s="219"/>
    </row>
    <row r="1365" spans="90:94" x14ac:dyDescent="0.3">
      <c r="CL1365" s="18"/>
      <c r="CM1365" s="18"/>
      <c r="CN1365" s="18"/>
      <c r="CO1365" s="18"/>
      <c r="CP1365" s="219"/>
    </row>
    <row r="1366" spans="90:94" x14ac:dyDescent="0.3">
      <c r="CL1366" s="18"/>
      <c r="CM1366" s="18"/>
      <c r="CN1366" s="18"/>
      <c r="CO1366" s="18"/>
      <c r="CP1366" s="219"/>
    </row>
    <row r="1367" spans="90:94" x14ac:dyDescent="0.3">
      <c r="CL1367" s="18"/>
      <c r="CM1367" s="18"/>
      <c r="CN1367" s="18"/>
      <c r="CO1367" s="18"/>
      <c r="CP1367" s="219"/>
    </row>
    <row r="1368" spans="90:94" x14ac:dyDescent="0.3">
      <c r="CL1368" s="18"/>
      <c r="CM1368" s="18"/>
      <c r="CN1368" s="18"/>
      <c r="CO1368" s="18"/>
      <c r="CP1368" s="219"/>
    </row>
    <row r="1369" spans="90:94" x14ac:dyDescent="0.3">
      <c r="CL1369" s="18"/>
      <c r="CM1369" s="18"/>
      <c r="CN1369" s="18"/>
      <c r="CO1369" s="18"/>
      <c r="CP1369" s="219"/>
    </row>
    <row r="1370" spans="90:94" x14ac:dyDescent="0.3">
      <c r="CL1370" s="18"/>
      <c r="CM1370" s="18"/>
      <c r="CN1370" s="18"/>
      <c r="CO1370" s="18"/>
      <c r="CP1370" s="219"/>
    </row>
    <row r="1371" spans="90:94" x14ac:dyDescent="0.3">
      <c r="CL1371" s="18"/>
      <c r="CM1371" s="18"/>
      <c r="CN1371" s="18"/>
      <c r="CO1371" s="18"/>
      <c r="CP1371" s="219"/>
    </row>
    <row r="1372" spans="90:94" x14ac:dyDescent="0.3">
      <c r="CL1372" s="18"/>
      <c r="CM1372" s="18"/>
      <c r="CN1372" s="18"/>
      <c r="CO1372" s="18"/>
      <c r="CP1372" s="219"/>
    </row>
    <row r="1373" spans="90:94" x14ac:dyDescent="0.3">
      <c r="CL1373" s="18"/>
      <c r="CM1373" s="18"/>
      <c r="CN1373" s="18"/>
      <c r="CO1373" s="18"/>
      <c r="CP1373" s="219"/>
    </row>
    <row r="1374" spans="90:94" x14ac:dyDescent="0.3">
      <c r="CL1374" s="18"/>
      <c r="CM1374" s="18"/>
      <c r="CN1374" s="18"/>
      <c r="CO1374" s="18"/>
      <c r="CP1374" s="219"/>
    </row>
    <row r="1375" spans="90:94" x14ac:dyDescent="0.3">
      <c r="CL1375" s="18"/>
      <c r="CM1375" s="18"/>
      <c r="CN1375" s="18"/>
      <c r="CO1375" s="18"/>
      <c r="CP1375" s="219"/>
    </row>
    <row r="1376" spans="90:94" x14ac:dyDescent="0.3">
      <c r="CL1376" s="18"/>
      <c r="CM1376" s="18"/>
      <c r="CN1376" s="18"/>
      <c r="CO1376" s="18"/>
      <c r="CP1376" s="219"/>
    </row>
    <row r="1377" spans="90:94" x14ac:dyDescent="0.3">
      <c r="CL1377" s="18"/>
      <c r="CM1377" s="18"/>
      <c r="CN1377" s="18"/>
      <c r="CO1377" s="18"/>
      <c r="CP1377" s="219"/>
    </row>
    <row r="1378" spans="90:94" x14ac:dyDescent="0.3">
      <c r="CL1378" s="18"/>
      <c r="CM1378" s="18"/>
      <c r="CN1378" s="18"/>
      <c r="CO1378" s="18"/>
      <c r="CP1378" s="219"/>
    </row>
    <row r="1379" spans="90:94" x14ac:dyDescent="0.3">
      <c r="CL1379" s="18"/>
      <c r="CM1379" s="18"/>
      <c r="CN1379" s="18"/>
      <c r="CO1379" s="18"/>
      <c r="CP1379" s="219"/>
    </row>
    <row r="1380" spans="90:94" x14ac:dyDescent="0.3">
      <c r="CL1380" s="18"/>
      <c r="CM1380" s="18"/>
      <c r="CN1380" s="18"/>
      <c r="CO1380" s="18"/>
      <c r="CP1380" s="219"/>
    </row>
    <row r="1381" spans="90:94" x14ac:dyDescent="0.3">
      <c r="CL1381" s="18"/>
      <c r="CM1381" s="18"/>
      <c r="CN1381" s="18"/>
      <c r="CO1381" s="18"/>
      <c r="CP1381" s="219"/>
    </row>
    <row r="1382" spans="90:94" x14ac:dyDescent="0.3">
      <c r="CL1382" s="18"/>
      <c r="CM1382" s="18"/>
      <c r="CN1382" s="18"/>
      <c r="CO1382" s="18"/>
      <c r="CP1382" s="219"/>
    </row>
    <row r="1383" spans="90:94" x14ac:dyDescent="0.3">
      <c r="CL1383" s="18"/>
      <c r="CM1383" s="18"/>
      <c r="CN1383" s="18"/>
      <c r="CO1383" s="18"/>
      <c r="CP1383" s="219"/>
    </row>
    <row r="1384" spans="90:94" x14ac:dyDescent="0.3">
      <c r="CL1384" s="18"/>
      <c r="CM1384" s="18"/>
      <c r="CN1384" s="18"/>
      <c r="CO1384" s="18"/>
      <c r="CP1384" s="219"/>
    </row>
    <row r="1385" spans="90:94" x14ac:dyDescent="0.3">
      <c r="CL1385" s="18"/>
      <c r="CM1385" s="18"/>
      <c r="CN1385" s="18"/>
      <c r="CO1385" s="18"/>
      <c r="CP1385" s="219"/>
    </row>
    <row r="1386" spans="90:94" x14ac:dyDescent="0.3">
      <c r="CL1386" s="18"/>
      <c r="CM1386" s="18"/>
      <c r="CN1386" s="18"/>
      <c r="CO1386" s="18"/>
      <c r="CP1386" s="219"/>
    </row>
    <row r="1387" spans="90:94" x14ac:dyDescent="0.3">
      <c r="CL1387" s="18"/>
      <c r="CM1387" s="18"/>
      <c r="CN1387" s="18"/>
      <c r="CO1387" s="18"/>
      <c r="CP1387" s="219"/>
    </row>
    <row r="1388" spans="90:94" x14ac:dyDescent="0.3">
      <c r="CL1388" s="18"/>
      <c r="CM1388" s="18"/>
      <c r="CN1388" s="18"/>
      <c r="CO1388" s="18"/>
      <c r="CP1388" s="219"/>
    </row>
    <row r="1389" spans="90:94" x14ac:dyDescent="0.3">
      <c r="CL1389" s="18"/>
      <c r="CM1389" s="18"/>
      <c r="CN1389" s="18"/>
      <c r="CO1389" s="18"/>
      <c r="CP1389" s="219"/>
    </row>
    <row r="1390" spans="90:94" x14ac:dyDescent="0.3">
      <c r="CL1390" s="18"/>
      <c r="CM1390" s="18"/>
      <c r="CN1390" s="18"/>
      <c r="CO1390" s="18"/>
      <c r="CP1390" s="219"/>
    </row>
    <row r="1391" spans="90:94" x14ac:dyDescent="0.3">
      <c r="CL1391" s="18"/>
      <c r="CM1391" s="18"/>
      <c r="CN1391" s="18"/>
      <c r="CO1391" s="18"/>
      <c r="CP1391" s="219"/>
    </row>
    <row r="1392" spans="90:94" x14ac:dyDescent="0.3">
      <c r="CL1392" s="18"/>
      <c r="CM1392" s="18"/>
      <c r="CN1392" s="18"/>
      <c r="CO1392" s="18"/>
      <c r="CP1392" s="219"/>
    </row>
    <row r="1393" spans="90:94" x14ac:dyDescent="0.3">
      <c r="CL1393" s="18"/>
      <c r="CM1393" s="18"/>
      <c r="CN1393" s="18"/>
      <c r="CO1393" s="18"/>
      <c r="CP1393" s="219"/>
    </row>
    <row r="1394" spans="90:94" x14ac:dyDescent="0.3">
      <c r="CL1394" s="18"/>
      <c r="CM1394" s="18"/>
      <c r="CN1394" s="18"/>
      <c r="CO1394" s="18"/>
      <c r="CP1394" s="219"/>
    </row>
    <row r="1395" spans="90:94" x14ac:dyDescent="0.3">
      <c r="CL1395" s="18"/>
      <c r="CM1395" s="18"/>
      <c r="CN1395" s="18"/>
      <c r="CO1395" s="18"/>
      <c r="CP1395" s="219"/>
    </row>
    <row r="1396" spans="90:94" x14ac:dyDescent="0.3">
      <c r="CL1396" s="18"/>
      <c r="CM1396" s="18"/>
      <c r="CN1396" s="18"/>
      <c r="CO1396" s="18"/>
      <c r="CP1396" s="219"/>
    </row>
    <row r="1397" spans="90:94" x14ac:dyDescent="0.3">
      <c r="CL1397" s="18"/>
      <c r="CM1397" s="18"/>
      <c r="CN1397" s="18"/>
      <c r="CO1397" s="18"/>
      <c r="CP1397" s="219"/>
    </row>
    <row r="1398" spans="90:94" x14ac:dyDescent="0.3">
      <c r="CL1398" s="18"/>
      <c r="CM1398" s="18"/>
      <c r="CN1398" s="18"/>
      <c r="CO1398" s="18"/>
      <c r="CP1398" s="219"/>
    </row>
    <row r="1399" spans="90:94" x14ac:dyDescent="0.3">
      <c r="CL1399" s="18"/>
      <c r="CM1399" s="18"/>
      <c r="CN1399" s="18"/>
      <c r="CO1399" s="18"/>
      <c r="CP1399" s="219"/>
    </row>
    <row r="1400" spans="90:94" x14ac:dyDescent="0.3">
      <c r="CL1400" s="18"/>
      <c r="CM1400" s="18"/>
      <c r="CN1400" s="18"/>
      <c r="CO1400" s="18"/>
      <c r="CP1400" s="219"/>
    </row>
    <row r="1401" spans="90:94" x14ac:dyDescent="0.3">
      <c r="CL1401" s="18"/>
      <c r="CM1401" s="18"/>
      <c r="CN1401" s="18"/>
      <c r="CO1401" s="18"/>
      <c r="CP1401" s="219"/>
    </row>
    <row r="1402" spans="90:94" x14ac:dyDescent="0.3">
      <c r="CL1402" s="18"/>
      <c r="CM1402" s="18"/>
      <c r="CN1402" s="18"/>
      <c r="CO1402" s="18"/>
      <c r="CP1402" s="219"/>
    </row>
    <row r="1403" spans="90:94" x14ac:dyDescent="0.3">
      <c r="CL1403" s="18"/>
      <c r="CM1403" s="18"/>
      <c r="CN1403" s="18"/>
      <c r="CO1403" s="18"/>
      <c r="CP1403" s="219"/>
    </row>
    <row r="1404" spans="90:94" x14ac:dyDescent="0.3">
      <c r="CL1404" s="18"/>
      <c r="CM1404" s="18"/>
      <c r="CN1404" s="18"/>
      <c r="CO1404" s="18"/>
      <c r="CP1404" s="221"/>
    </row>
    <row r="1405" spans="90:94" x14ac:dyDescent="0.3">
      <c r="CL1405" s="18"/>
      <c r="CM1405" s="18"/>
      <c r="CN1405" s="18"/>
      <c r="CO1405" s="18"/>
      <c r="CP1405" s="221"/>
    </row>
    <row r="1406" spans="90:94" x14ac:dyDescent="0.3">
      <c r="CL1406" s="18"/>
      <c r="CM1406" s="18"/>
      <c r="CN1406" s="18"/>
      <c r="CO1406" s="18"/>
      <c r="CP1406" s="221"/>
    </row>
    <row r="1407" spans="90:94" x14ac:dyDescent="0.3">
      <c r="CL1407" s="18"/>
      <c r="CM1407" s="18"/>
      <c r="CN1407" s="18"/>
      <c r="CO1407" s="18"/>
      <c r="CP1407" s="221"/>
    </row>
    <row r="1408" spans="90:94" x14ac:dyDescent="0.3">
      <c r="CL1408" s="18"/>
      <c r="CM1408" s="18"/>
      <c r="CN1408" s="18"/>
      <c r="CO1408" s="18"/>
      <c r="CP1408" s="221"/>
    </row>
    <row r="1409" spans="90:94" x14ac:dyDescent="0.3">
      <c r="CL1409" s="18"/>
      <c r="CM1409" s="18"/>
      <c r="CN1409" s="18"/>
      <c r="CO1409" s="18"/>
      <c r="CP1409" s="221"/>
    </row>
    <row r="1410" spans="90:94" x14ac:dyDescent="0.3">
      <c r="CL1410" s="18"/>
      <c r="CM1410" s="18"/>
      <c r="CN1410" s="18"/>
      <c r="CO1410" s="18"/>
      <c r="CP1410" s="221"/>
    </row>
    <row r="1411" spans="90:94" x14ac:dyDescent="0.3">
      <c r="CL1411" s="18"/>
      <c r="CM1411" s="18"/>
      <c r="CN1411" s="18"/>
      <c r="CO1411" s="18"/>
      <c r="CP1411" s="221"/>
    </row>
    <row r="1412" spans="90:94" x14ac:dyDescent="0.3">
      <c r="CL1412" s="18"/>
      <c r="CM1412" s="18"/>
      <c r="CN1412" s="18"/>
      <c r="CO1412" s="18"/>
      <c r="CP1412" s="221"/>
    </row>
    <row r="1413" spans="90:94" x14ac:dyDescent="0.3">
      <c r="CL1413" s="18"/>
      <c r="CM1413" s="18"/>
      <c r="CN1413" s="18"/>
      <c r="CO1413" s="18"/>
      <c r="CP1413" s="221"/>
    </row>
    <row r="1414" spans="90:94" x14ac:dyDescent="0.3">
      <c r="CL1414" s="18"/>
      <c r="CM1414" s="18"/>
      <c r="CN1414" s="18"/>
      <c r="CO1414" s="18"/>
      <c r="CP1414" s="221"/>
    </row>
    <row r="1415" spans="90:94" x14ac:dyDescent="0.3">
      <c r="CL1415" s="18"/>
      <c r="CM1415" s="18"/>
      <c r="CN1415" s="18"/>
      <c r="CO1415" s="18"/>
      <c r="CP1415" s="221"/>
    </row>
    <row r="1416" spans="90:94" x14ac:dyDescent="0.3">
      <c r="CL1416" s="18"/>
      <c r="CM1416" s="18"/>
      <c r="CN1416" s="18"/>
      <c r="CO1416" s="18"/>
      <c r="CP1416" s="221"/>
    </row>
    <row r="1417" spans="90:94" x14ac:dyDescent="0.3">
      <c r="CL1417" s="18"/>
      <c r="CM1417" s="18"/>
      <c r="CN1417" s="18"/>
      <c r="CO1417" s="18"/>
      <c r="CP1417" s="221"/>
    </row>
    <row r="1418" spans="90:94" x14ac:dyDescent="0.3">
      <c r="CL1418" s="18"/>
      <c r="CM1418" s="18"/>
      <c r="CN1418" s="18"/>
      <c r="CO1418" s="18"/>
      <c r="CP1418" s="221"/>
    </row>
    <row r="1419" spans="90:94" x14ac:dyDescent="0.3">
      <c r="CL1419" s="18"/>
      <c r="CM1419" s="18"/>
      <c r="CN1419" s="18"/>
      <c r="CO1419" s="18"/>
      <c r="CP1419" s="221"/>
    </row>
    <row r="1420" spans="90:94" x14ac:dyDescent="0.3">
      <c r="CL1420" s="18"/>
      <c r="CM1420" s="18"/>
      <c r="CN1420" s="18"/>
      <c r="CO1420" s="18"/>
      <c r="CP1420" s="221"/>
    </row>
    <row r="1421" spans="90:94" x14ac:dyDescent="0.3">
      <c r="CL1421" s="18"/>
      <c r="CM1421" s="18"/>
      <c r="CN1421" s="18"/>
      <c r="CO1421" s="18"/>
      <c r="CP1421" s="221"/>
    </row>
    <row r="1422" spans="90:94" x14ac:dyDescent="0.3">
      <c r="CL1422" s="18"/>
      <c r="CM1422" s="18"/>
      <c r="CN1422" s="18"/>
      <c r="CO1422" s="18"/>
      <c r="CP1422" s="221"/>
    </row>
    <row r="1423" spans="90:94" x14ac:dyDescent="0.3">
      <c r="CL1423" s="18"/>
      <c r="CM1423" s="18"/>
      <c r="CN1423" s="18"/>
      <c r="CO1423" s="18"/>
      <c r="CP1423" s="221"/>
    </row>
    <row r="1424" spans="90:94" x14ac:dyDescent="0.3">
      <c r="CL1424" s="18"/>
      <c r="CM1424" s="18"/>
      <c r="CN1424" s="18"/>
      <c r="CO1424" s="18"/>
      <c r="CP1424" s="221"/>
    </row>
    <row r="1425" spans="90:94" x14ac:dyDescent="0.3">
      <c r="CL1425" s="18"/>
      <c r="CM1425" s="18"/>
      <c r="CN1425" s="18"/>
      <c r="CO1425" s="18"/>
      <c r="CP1425" s="221"/>
    </row>
    <row r="1426" spans="90:94" x14ac:dyDescent="0.3">
      <c r="CL1426" s="18"/>
      <c r="CM1426" s="18"/>
      <c r="CN1426" s="18"/>
      <c r="CO1426" s="18"/>
      <c r="CP1426" s="221"/>
    </row>
    <row r="1427" spans="90:94" x14ac:dyDescent="0.3">
      <c r="CL1427" s="18"/>
      <c r="CM1427" s="18"/>
      <c r="CN1427" s="18"/>
      <c r="CO1427" s="18"/>
      <c r="CP1427" s="221"/>
    </row>
    <row r="1428" spans="90:94" x14ac:dyDescent="0.3">
      <c r="CL1428" s="18"/>
      <c r="CM1428" s="18"/>
      <c r="CN1428" s="18"/>
      <c r="CO1428" s="18"/>
      <c r="CP1428" s="221"/>
    </row>
    <row r="1429" spans="90:94" x14ac:dyDescent="0.3">
      <c r="CL1429" s="18"/>
      <c r="CM1429" s="18"/>
      <c r="CN1429" s="18"/>
      <c r="CO1429" s="18"/>
      <c r="CP1429" s="221"/>
    </row>
    <row r="1430" spans="90:94" x14ac:dyDescent="0.3">
      <c r="CL1430" s="18"/>
      <c r="CM1430" s="18"/>
      <c r="CN1430" s="18"/>
      <c r="CO1430" s="18"/>
      <c r="CP1430" s="221"/>
    </row>
    <row r="1431" spans="90:94" x14ac:dyDescent="0.3">
      <c r="CL1431" s="18"/>
      <c r="CM1431" s="18"/>
      <c r="CN1431" s="18"/>
      <c r="CO1431" s="18"/>
      <c r="CP1431" s="221"/>
    </row>
    <row r="1432" spans="90:94" x14ac:dyDescent="0.3">
      <c r="CL1432" s="18"/>
      <c r="CM1432" s="18"/>
      <c r="CN1432" s="18"/>
      <c r="CO1432" s="18"/>
      <c r="CP1432" s="221"/>
    </row>
    <row r="1433" spans="90:94" x14ac:dyDescent="0.3">
      <c r="CL1433" s="18"/>
      <c r="CM1433" s="18"/>
      <c r="CN1433" s="18"/>
      <c r="CO1433" s="18"/>
      <c r="CP1433" s="221"/>
    </row>
    <row r="1434" spans="90:94" x14ac:dyDescent="0.3">
      <c r="CL1434" s="18"/>
      <c r="CM1434" s="18"/>
      <c r="CN1434" s="18"/>
      <c r="CO1434" s="18"/>
      <c r="CP1434" s="221"/>
    </row>
    <row r="1435" spans="90:94" x14ac:dyDescent="0.3">
      <c r="CL1435" s="18"/>
      <c r="CM1435" s="18"/>
      <c r="CN1435" s="18"/>
      <c r="CO1435" s="18"/>
      <c r="CP1435" s="221"/>
    </row>
    <row r="1436" spans="90:94" x14ac:dyDescent="0.3">
      <c r="CL1436" s="18"/>
      <c r="CM1436" s="18"/>
      <c r="CN1436" s="18"/>
      <c r="CO1436" s="18"/>
      <c r="CP1436" s="221"/>
    </row>
    <row r="1437" spans="90:94" x14ac:dyDescent="0.3">
      <c r="CL1437" s="18"/>
      <c r="CM1437" s="18"/>
      <c r="CN1437" s="18"/>
      <c r="CO1437" s="18"/>
      <c r="CP1437" s="221"/>
    </row>
    <row r="1438" spans="90:94" x14ac:dyDescent="0.3">
      <c r="CL1438" s="18"/>
      <c r="CM1438" s="18"/>
      <c r="CN1438" s="18"/>
      <c r="CO1438" s="18"/>
      <c r="CP1438" s="221"/>
    </row>
    <row r="1439" spans="90:94" x14ac:dyDescent="0.3">
      <c r="CL1439" s="18"/>
      <c r="CM1439" s="18"/>
      <c r="CN1439" s="18"/>
      <c r="CO1439" s="18"/>
      <c r="CP1439" s="221"/>
    </row>
    <row r="1440" spans="90:94" x14ac:dyDescent="0.3">
      <c r="CL1440" s="18"/>
      <c r="CM1440" s="18"/>
      <c r="CN1440" s="18"/>
      <c r="CO1440" s="18"/>
      <c r="CP1440" s="221"/>
    </row>
    <row r="1441" spans="90:94" x14ac:dyDescent="0.3">
      <c r="CL1441" s="18"/>
      <c r="CM1441" s="18"/>
      <c r="CN1441" s="18"/>
      <c r="CO1441" s="18"/>
      <c r="CP1441" s="221"/>
    </row>
    <row r="1442" spans="90:94" x14ac:dyDescent="0.3">
      <c r="CL1442" s="18"/>
      <c r="CM1442" s="18"/>
      <c r="CN1442" s="18"/>
      <c r="CO1442" s="18"/>
      <c r="CP1442" s="221"/>
    </row>
    <row r="1443" spans="90:94" x14ac:dyDescent="0.3">
      <c r="CL1443" s="18"/>
      <c r="CM1443" s="18"/>
      <c r="CN1443" s="18"/>
      <c r="CO1443" s="18"/>
      <c r="CP1443" s="221"/>
    </row>
    <row r="1444" spans="90:94" x14ac:dyDescent="0.3">
      <c r="CL1444" s="18"/>
      <c r="CM1444" s="18"/>
      <c r="CN1444" s="18"/>
      <c r="CO1444" s="18"/>
      <c r="CP1444" s="221"/>
    </row>
    <row r="1445" spans="90:94" x14ac:dyDescent="0.3">
      <c r="CL1445" s="18"/>
      <c r="CM1445" s="18"/>
      <c r="CN1445" s="18"/>
      <c r="CO1445" s="18"/>
      <c r="CP1445" s="221"/>
    </row>
    <row r="1446" spans="90:94" x14ac:dyDescent="0.3">
      <c r="CL1446" s="18"/>
      <c r="CM1446" s="18"/>
      <c r="CN1446" s="18"/>
      <c r="CO1446" s="18"/>
      <c r="CP1446" s="221"/>
    </row>
    <row r="1447" spans="90:94" x14ac:dyDescent="0.3">
      <c r="CL1447" s="18"/>
      <c r="CM1447" s="18"/>
      <c r="CN1447" s="18"/>
      <c r="CO1447" s="18"/>
      <c r="CP1447" s="221"/>
    </row>
    <row r="1448" spans="90:94" x14ac:dyDescent="0.3">
      <c r="CL1448" s="18"/>
      <c r="CM1448" s="18"/>
      <c r="CN1448" s="18"/>
      <c r="CO1448" s="18"/>
      <c r="CP1448" s="221"/>
    </row>
    <row r="1449" spans="90:94" x14ac:dyDescent="0.3">
      <c r="CL1449" s="18"/>
      <c r="CM1449" s="18"/>
      <c r="CN1449" s="18"/>
      <c r="CO1449" s="18"/>
      <c r="CP1449" s="221"/>
    </row>
    <row r="1450" spans="90:94" x14ac:dyDescent="0.3">
      <c r="CL1450" s="18"/>
      <c r="CM1450" s="18"/>
      <c r="CN1450" s="18"/>
      <c r="CO1450" s="18"/>
      <c r="CP1450" s="221"/>
    </row>
    <row r="1451" spans="90:94" x14ac:dyDescent="0.3">
      <c r="CL1451" s="18"/>
      <c r="CM1451" s="18"/>
      <c r="CN1451" s="18"/>
      <c r="CO1451" s="18"/>
      <c r="CP1451" s="221"/>
    </row>
    <row r="1452" spans="90:94" x14ac:dyDescent="0.3">
      <c r="CL1452" s="18"/>
      <c r="CM1452" s="18"/>
      <c r="CN1452" s="18"/>
      <c r="CO1452" s="18"/>
      <c r="CP1452" s="221"/>
    </row>
    <row r="1453" spans="90:94" x14ac:dyDescent="0.3">
      <c r="CL1453" s="18"/>
      <c r="CM1453" s="18"/>
      <c r="CN1453" s="18"/>
      <c r="CO1453" s="18"/>
      <c r="CP1453" s="221"/>
    </row>
    <row r="1454" spans="90:94" x14ac:dyDescent="0.3">
      <c r="CL1454" s="18"/>
      <c r="CM1454" s="18"/>
      <c r="CN1454" s="18"/>
      <c r="CO1454" s="18"/>
      <c r="CP1454" s="221"/>
    </row>
    <row r="1455" spans="90:94" x14ac:dyDescent="0.3">
      <c r="CL1455" s="18"/>
      <c r="CM1455" s="18"/>
      <c r="CN1455" s="18"/>
      <c r="CO1455" s="18"/>
      <c r="CP1455" s="221"/>
    </row>
    <row r="1456" spans="90:94" x14ac:dyDescent="0.3">
      <c r="CL1456" s="18"/>
      <c r="CM1456" s="18"/>
      <c r="CN1456" s="18"/>
      <c r="CO1456" s="18"/>
      <c r="CP1456" s="221"/>
    </row>
    <row r="1457" spans="90:94" x14ac:dyDescent="0.3">
      <c r="CL1457" s="18"/>
      <c r="CM1457" s="18"/>
      <c r="CN1457" s="18"/>
      <c r="CO1457" s="18"/>
      <c r="CP1457" s="221"/>
    </row>
    <row r="1458" spans="90:94" x14ac:dyDescent="0.3">
      <c r="CL1458" s="18"/>
      <c r="CM1458" s="18"/>
      <c r="CN1458" s="18"/>
      <c r="CO1458" s="18"/>
      <c r="CP1458" s="221"/>
    </row>
    <row r="1459" spans="90:94" x14ac:dyDescent="0.3">
      <c r="CL1459" s="18"/>
      <c r="CM1459" s="18"/>
      <c r="CN1459" s="18"/>
      <c r="CO1459" s="18"/>
      <c r="CP1459" s="221"/>
    </row>
    <row r="1460" spans="90:94" x14ac:dyDescent="0.3">
      <c r="CL1460" s="18"/>
      <c r="CM1460" s="18"/>
      <c r="CN1460" s="18"/>
      <c r="CO1460" s="18"/>
      <c r="CP1460" s="221"/>
    </row>
    <row r="1461" spans="90:94" x14ac:dyDescent="0.3">
      <c r="CL1461" s="18"/>
      <c r="CM1461" s="18"/>
      <c r="CN1461" s="18"/>
      <c r="CO1461" s="18"/>
      <c r="CP1461" s="221"/>
    </row>
    <row r="1462" spans="90:94" x14ac:dyDescent="0.3">
      <c r="CL1462" s="18"/>
      <c r="CM1462" s="18"/>
      <c r="CN1462" s="18"/>
      <c r="CO1462" s="18"/>
      <c r="CP1462" s="221"/>
    </row>
    <row r="1463" spans="90:94" x14ac:dyDescent="0.3">
      <c r="CL1463" s="18"/>
      <c r="CM1463" s="18"/>
      <c r="CN1463" s="18"/>
      <c r="CO1463" s="18"/>
      <c r="CP1463" s="221"/>
    </row>
    <row r="1464" spans="90:94" x14ac:dyDescent="0.3">
      <c r="CL1464" s="18"/>
      <c r="CM1464" s="18"/>
      <c r="CN1464" s="18"/>
      <c r="CO1464" s="18"/>
      <c r="CP1464" s="221"/>
    </row>
    <row r="1465" spans="90:94" x14ac:dyDescent="0.3">
      <c r="CL1465" s="18"/>
      <c r="CM1465" s="18"/>
      <c r="CN1465" s="18"/>
      <c r="CO1465" s="18"/>
      <c r="CP1465" s="221"/>
    </row>
    <row r="1466" spans="90:94" x14ac:dyDescent="0.3">
      <c r="CL1466" s="18"/>
      <c r="CM1466" s="18"/>
      <c r="CN1466" s="18"/>
      <c r="CO1466" s="18"/>
      <c r="CP1466" s="221"/>
    </row>
    <row r="1467" spans="90:94" x14ac:dyDescent="0.3">
      <c r="CL1467" s="18"/>
      <c r="CM1467" s="18"/>
      <c r="CN1467" s="18"/>
      <c r="CO1467" s="18"/>
      <c r="CP1467" s="221"/>
    </row>
    <row r="1468" spans="90:94" x14ac:dyDescent="0.3">
      <c r="CL1468" s="18"/>
      <c r="CM1468" s="18"/>
      <c r="CN1468" s="18"/>
      <c r="CO1468" s="18"/>
      <c r="CP1468" s="221"/>
    </row>
    <row r="1469" spans="90:94" x14ac:dyDescent="0.3">
      <c r="CL1469" s="18"/>
      <c r="CM1469" s="18"/>
      <c r="CN1469" s="18"/>
      <c r="CO1469" s="18"/>
      <c r="CP1469" s="221"/>
    </row>
    <row r="1470" spans="90:94" x14ac:dyDescent="0.3">
      <c r="CL1470" s="18"/>
      <c r="CM1470" s="18"/>
      <c r="CN1470" s="18"/>
      <c r="CO1470" s="18"/>
      <c r="CP1470" s="221"/>
    </row>
    <row r="1471" spans="90:94" x14ac:dyDescent="0.3">
      <c r="CL1471" s="18"/>
      <c r="CM1471" s="18"/>
      <c r="CN1471" s="18"/>
      <c r="CO1471" s="18"/>
      <c r="CP1471" s="221"/>
    </row>
  </sheetData>
  <sheetProtection algorithmName="SHA-512" hashValue="ecmQu66JFo3QYpZnWxgfXMy+8V7N2NivyLrdUeo6Izt6KDRj5haWjiFtbg03ANV1VowVNCFUjAwIIsZYKj6tFQ==" saltValue="MtxuojSptTzckzDjIqewlw==" spinCount="100000" sheet="1" selectLockedCells="1"/>
  <autoFilter ref="AG2:AK97" xr:uid="{00000000-0001-0000-0000-000000000000}"/>
  <sortState xmlns:xlrd2="http://schemas.microsoft.com/office/spreadsheetml/2017/richdata2" ref="DH107:DN318">
    <sortCondition descending="1" sortBy="cellColor" ref="DH107:DH318" dxfId="255"/>
  </sortState>
  <mergeCells count="2">
    <mergeCell ref="D2:E2"/>
    <mergeCell ref="CR1:CS1"/>
  </mergeCells>
  <conditionalFormatting sqref="BS69 DD40:DD47 DD49 DD4:DD9 BS56:BS65 DD63:DD67 DD71:DD73 CK55 S73:U80 CU70:CU74 CU76:CU79 CU81 DE41:DE67 DE70:DE74">
    <cfRule type="expression" dxfId="254" priority="439">
      <formula>$DC$16=1</formula>
    </cfRule>
  </conditionalFormatting>
  <conditionalFormatting sqref="BS3:BS9">
    <cfRule type="expression" dxfId="253" priority="438">
      <formula>$DC$16=1</formula>
    </cfRule>
  </conditionalFormatting>
  <conditionalFormatting sqref="BS26:BS30">
    <cfRule type="expression" dxfId="252" priority="428">
      <formula>$DC$16=1</formula>
    </cfRule>
  </conditionalFormatting>
  <conditionalFormatting sqref="BS39:BS46">
    <cfRule type="expression" dxfId="251" priority="424">
      <formula>$DC$16=1</formula>
    </cfRule>
  </conditionalFormatting>
  <conditionalFormatting sqref="BS70:BS73 GC4:GC7 CJ77:CK77 BS76 DD58 DU52:DU53 CH76 DD60:DD62 BQ75:BQ78 BP76:BP80 BS78 BS80 CH78 CH80 CJ79:CK81 BS95 BS97 GH7:GJ7 GG15 GG17 GG19 AT73:AT75">
    <cfRule type="expression" dxfId="250" priority="420">
      <formula>$DB$16=1</formula>
    </cfRule>
  </conditionalFormatting>
  <conditionalFormatting sqref="DD51">
    <cfRule type="expression" dxfId="249" priority="416">
      <formula>$DC$16=1</formula>
    </cfRule>
  </conditionalFormatting>
  <conditionalFormatting sqref="DD3:DE3">
    <cfRule type="expression" dxfId="248" priority="415">
      <formula>$DC$16=1</formula>
    </cfRule>
  </conditionalFormatting>
  <conditionalFormatting sqref="DD24:DD28">
    <cfRule type="expression" dxfId="247" priority="414">
      <formula>$DC$16=1</formula>
    </cfRule>
  </conditionalFormatting>
  <conditionalFormatting sqref="DD52:DD55">
    <cfRule type="expression" dxfId="246" priority="412">
      <formula>$DB$16=1</formula>
    </cfRule>
  </conditionalFormatting>
  <conditionalFormatting sqref="DW19:DW23 DW33 GN14 GK14 GK6:GK12 BW77 BW79 CA77 CA79 CE77 CE79">
    <cfRule type="expression" dxfId="245" priority="408">
      <formula>#REF!=1</formula>
    </cfRule>
  </conditionalFormatting>
  <conditionalFormatting sqref="DW29">
    <cfRule type="expression" dxfId="244" priority="406">
      <formula>#REF!=1</formula>
    </cfRule>
  </conditionalFormatting>
  <conditionalFormatting sqref="DW27 DX44:DX45 DV44:DV45 DX47:DX49 DX51 DV47:DV49 DV51">
    <cfRule type="expression" dxfId="243" priority="405">
      <formula>#REF!=1</formula>
    </cfRule>
  </conditionalFormatting>
  <conditionalFormatting sqref="DW30">
    <cfRule type="expression" dxfId="242" priority="404">
      <formula>#REF!=1</formula>
    </cfRule>
  </conditionalFormatting>
  <conditionalFormatting sqref="DW35:DW36">
    <cfRule type="expression" dxfId="241" priority="401">
      <formula>#REF!=1</formula>
    </cfRule>
  </conditionalFormatting>
  <conditionalFormatting sqref="DW35 DW65 DV44:DX45 DV47:DX49 DV51:DX51">
    <cfRule type="expression" dxfId="240" priority="447">
      <formula>#REF!&gt;0</formula>
    </cfRule>
  </conditionalFormatting>
  <conditionalFormatting sqref="DW18 DW20">
    <cfRule type="expression" dxfId="239" priority="454">
      <formula>#REF!&gt;0</formula>
    </cfRule>
  </conditionalFormatting>
  <conditionalFormatting sqref="DW33:DW34 DW36 GK6:GM6">
    <cfRule type="expression" dxfId="238" priority="456">
      <formula>#REF!&gt;0</formula>
    </cfRule>
  </conditionalFormatting>
  <conditionalFormatting sqref="EX3:EX72">
    <cfRule type="duplicateValues" dxfId="237" priority="400"/>
  </conditionalFormatting>
  <conditionalFormatting sqref="GM13">
    <cfRule type="expression" dxfId="236" priority="395">
      <formula>#REF!=1</formula>
    </cfRule>
  </conditionalFormatting>
  <conditionalFormatting sqref="GM15:GM16">
    <cfRule type="expression" dxfId="235" priority="394">
      <formula>#REF!=1</formula>
    </cfRule>
  </conditionalFormatting>
  <conditionalFormatting sqref="GM15">
    <cfRule type="expression" dxfId="234" priority="396">
      <formula>#REF!&gt;0</formula>
    </cfRule>
  </conditionalFormatting>
  <conditionalFormatting sqref="GM13 GM16">
    <cfRule type="expression" dxfId="233" priority="397">
      <formula>#REF!&gt;0</formula>
    </cfRule>
  </conditionalFormatting>
  <conditionalFormatting sqref="GD6">
    <cfRule type="expression" dxfId="232" priority="389">
      <formula>$DB$16=1</formula>
    </cfRule>
  </conditionalFormatting>
  <conditionalFormatting sqref="GD7">
    <cfRule type="expression" dxfId="231" priority="387">
      <formula>$DB$16=1</formula>
    </cfRule>
  </conditionalFormatting>
  <conditionalFormatting sqref="GD4:GJ4">
    <cfRule type="expression" dxfId="230" priority="386">
      <formula>$DB$16=1</formula>
    </cfRule>
  </conditionalFormatting>
  <conditionalFormatting sqref="GD5">
    <cfRule type="expression" dxfId="229" priority="385">
      <formula>$DB$16=1</formula>
    </cfRule>
  </conditionalFormatting>
  <conditionalFormatting sqref="GL14">
    <cfRule type="expression" dxfId="228" priority="359">
      <formula>#REF!=1</formula>
    </cfRule>
  </conditionalFormatting>
  <conditionalFormatting sqref="GN14">
    <cfRule type="expression" dxfId="227" priority="360">
      <formula>#REF!&gt;0</formula>
    </cfRule>
  </conditionalFormatting>
  <conditionalFormatting sqref="GK14:GM14">
    <cfRule type="expression" dxfId="226" priority="361">
      <formula>#REF!&gt;0</formula>
    </cfRule>
  </conditionalFormatting>
  <conditionalFormatting sqref="GL12">
    <cfRule type="expression" dxfId="225" priority="354">
      <formula>#REF!=1</formula>
    </cfRule>
  </conditionalFormatting>
  <conditionalFormatting sqref="GL8:GL11">
    <cfRule type="expression" dxfId="224" priority="350">
      <formula>#REF!=1</formula>
    </cfRule>
  </conditionalFormatting>
  <conditionalFormatting sqref="GL7">
    <cfRule type="expression" dxfId="223" priority="346">
      <formula>#REF!=1</formula>
    </cfRule>
  </conditionalFormatting>
  <conditionalFormatting sqref="GN12">
    <cfRule type="expression" dxfId="222" priority="357">
      <formula>#REF!=1</formula>
    </cfRule>
  </conditionalFormatting>
  <conditionalFormatting sqref="GN12">
    <cfRule type="expression" dxfId="221" priority="355">
      <formula>#REF!&gt;0</formula>
    </cfRule>
  </conditionalFormatting>
  <conditionalFormatting sqref="GK12:GM12">
    <cfRule type="expression" dxfId="220" priority="356">
      <formula>#REF!&gt;0</formula>
    </cfRule>
  </conditionalFormatting>
  <conditionalFormatting sqref="GN8:GN11">
    <cfRule type="expression" dxfId="219" priority="353">
      <formula>#REF!=1</formula>
    </cfRule>
  </conditionalFormatting>
  <conditionalFormatting sqref="GN8:GN11">
    <cfRule type="expression" dxfId="218" priority="351">
      <formula>#REF!&gt;0</formula>
    </cfRule>
  </conditionalFormatting>
  <conditionalFormatting sqref="GK8:GM11">
    <cfRule type="expression" dxfId="217" priority="352">
      <formula>#REF!&gt;0</formula>
    </cfRule>
  </conditionalFormatting>
  <conditionalFormatting sqref="GN6">
    <cfRule type="expression" dxfId="216" priority="349">
      <formula>#REF!=1</formula>
    </cfRule>
  </conditionalFormatting>
  <conditionalFormatting sqref="GN6">
    <cfRule type="expression" dxfId="215" priority="347">
      <formula>#REF!&gt;0</formula>
    </cfRule>
  </conditionalFormatting>
  <conditionalFormatting sqref="GK7:GM7">
    <cfRule type="expression" dxfId="214" priority="348">
      <formula>#REF!&gt;0</formula>
    </cfRule>
  </conditionalFormatting>
  <conditionalFormatting sqref="GN4">
    <cfRule type="expression" dxfId="213" priority="345">
      <formula>#REF!=1</formula>
    </cfRule>
  </conditionalFormatting>
  <conditionalFormatting sqref="GL6">
    <cfRule type="expression" dxfId="212" priority="342">
      <formula>#REF!=1</formula>
    </cfRule>
  </conditionalFormatting>
  <conditionalFormatting sqref="GN4">
    <cfRule type="expression" dxfId="211" priority="343">
      <formula>#REF!&gt;0</formula>
    </cfRule>
  </conditionalFormatting>
  <conditionalFormatting sqref="GK4">
    <cfRule type="expression" dxfId="210" priority="341">
      <formula>#REF!=1</formula>
    </cfRule>
  </conditionalFormatting>
  <conditionalFormatting sqref="GK4">
    <cfRule type="expression" dxfId="209" priority="340">
      <formula>#REF!&gt;0</formula>
    </cfRule>
  </conditionalFormatting>
  <conditionalFormatting sqref="GK5">
    <cfRule type="expression" dxfId="208" priority="339">
      <formula>#REF!=1</formula>
    </cfRule>
  </conditionalFormatting>
  <conditionalFormatting sqref="GK5">
    <cfRule type="expression" dxfId="207" priority="338">
      <formula>#REF!&gt;0</formula>
    </cfRule>
  </conditionalFormatting>
  <conditionalFormatting sqref="GE5:GJ5">
    <cfRule type="expression" dxfId="206" priority="337">
      <formula>$DB$16=1</formula>
    </cfRule>
  </conditionalFormatting>
  <conditionalFormatting sqref="GE6:GJ6">
    <cfRule type="expression" dxfId="205" priority="336">
      <formula>$DB$16=1</formula>
    </cfRule>
  </conditionalFormatting>
  <conditionalFormatting sqref="GE7:GF7">
    <cfRule type="expression" dxfId="204" priority="335">
      <formula>$DB$16=1</formula>
    </cfRule>
  </conditionalFormatting>
  <conditionalFormatting sqref="DV52">
    <cfRule type="expression" dxfId="203" priority="326">
      <formula>#REF!=1</formula>
    </cfRule>
  </conditionalFormatting>
  <conditionalFormatting sqref="DV52">
    <cfRule type="expression" dxfId="202" priority="327">
      <formula>#REF!&gt;0</formula>
    </cfRule>
  </conditionalFormatting>
  <conditionalFormatting sqref="DV53">
    <cfRule type="expression" dxfId="201" priority="324">
      <formula>#REF!=1</formula>
    </cfRule>
  </conditionalFormatting>
  <conditionalFormatting sqref="DV53">
    <cfRule type="expression" dxfId="200" priority="325">
      <formula>#REF!&gt;0</formula>
    </cfRule>
  </conditionalFormatting>
  <conditionalFormatting sqref="DX65">
    <cfRule type="expression" dxfId="199" priority="323">
      <formula>#REF!&gt;0</formula>
    </cfRule>
  </conditionalFormatting>
  <conditionalFormatting sqref="DV43">
    <cfRule type="expression" dxfId="198" priority="318">
      <formula>#REF!=1</formula>
    </cfRule>
  </conditionalFormatting>
  <conditionalFormatting sqref="DV43">
    <cfRule type="expression" dxfId="197" priority="319">
      <formula>#REF!&gt;0</formula>
    </cfRule>
  </conditionalFormatting>
  <conditionalFormatting sqref="DX43">
    <cfRule type="expression" dxfId="196" priority="316">
      <formula>#REF!=1</formula>
    </cfRule>
  </conditionalFormatting>
  <conditionalFormatting sqref="DX43">
    <cfRule type="expression" dxfId="195" priority="317">
      <formula>#REF!&gt;0</formula>
    </cfRule>
  </conditionalFormatting>
  <conditionalFormatting sqref="DS75:DS79">
    <cfRule type="expression" dxfId="194" priority="310">
      <formula>#REF!=1</formula>
    </cfRule>
  </conditionalFormatting>
  <conditionalFormatting sqref="DS74 DS76">
    <cfRule type="expression" dxfId="193" priority="311">
      <formula>#REF!&gt;0</formula>
    </cfRule>
  </conditionalFormatting>
  <conditionalFormatting sqref="DW70">
    <cfRule type="expression" dxfId="192" priority="307">
      <formula>#REF!=1</formula>
    </cfRule>
  </conditionalFormatting>
  <conditionalFormatting sqref="DW70">
    <cfRule type="expression" dxfId="191" priority="308">
      <formula>#REF!&gt;0</formula>
    </cfRule>
  </conditionalFormatting>
  <conditionalFormatting sqref="DW68">
    <cfRule type="expression" dxfId="190" priority="304">
      <formula>#REF!=1</formula>
    </cfRule>
  </conditionalFormatting>
  <conditionalFormatting sqref="BP3:BQ9">
    <cfRule type="expression" dxfId="189" priority="296">
      <formula>$DC$16=1</formula>
    </cfRule>
  </conditionalFormatting>
  <conditionalFormatting sqref="BP26:BQ30">
    <cfRule type="expression" dxfId="188" priority="295">
      <formula>$DC$16=1</formula>
    </cfRule>
  </conditionalFormatting>
  <conditionalFormatting sqref="BP56:BQ63">
    <cfRule type="expression" dxfId="187" priority="294">
      <formula>$DC$16=1</formula>
    </cfRule>
  </conditionalFormatting>
  <conditionalFormatting sqref="BP39:BQ46">
    <cfRule type="expression" dxfId="186" priority="293">
      <formula>$DC$16=1</formula>
    </cfRule>
  </conditionalFormatting>
  <conditionalFormatting sqref="BP70:BQ73">
    <cfRule type="expression" dxfId="185" priority="291">
      <formula>$DB$16=1</formula>
    </cfRule>
  </conditionalFormatting>
  <conditionalFormatting sqref="BS66">
    <cfRule type="expression" dxfId="184" priority="267">
      <formula>$DC$16=1</formula>
    </cfRule>
  </conditionalFormatting>
  <conditionalFormatting sqref="BW39">
    <cfRule type="expression" dxfId="183" priority="266">
      <formula>$DC$16=1</formula>
    </cfRule>
  </conditionalFormatting>
  <conditionalFormatting sqref="BW40">
    <cfRule type="expression" dxfId="182" priority="265">
      <formula>$DC$16=1</formula>
    </cfRule>
  </conditionalFormatting>
  <conditionalFormatting sqref="BW41">
    <cfRule type="expression" dxfId="181" priority="264">
      <formula>$DC$16=1</formula>
    </cfRule>
  </conditionalFormatting>
  <conditionalFormatting sqref="BW42">
    <cfRule type="expression" dxfId="180" priority="263">
      <formula>$DC$16=1</formula>
    </cfRule>
  </conditionalFormatting>
  <conditionalFormatting sqref="CA39">
    <cfRule type="expression" dxfId="179" priority="257">
      <formula>$DC$16=1</formula>
    </cfRule>
  </conditionalFormatting>
  <conditionalFormatting sqref="CA40">
    <cfRule type="expression" dxfId="178" priority="256">
      <formula>$DC$16=1</formula>
    </cfRule>
  </conditionalFormatting>
  <conditionalFormatting sqref="CA41">
    <cfRule type="expression" dxfId="177" priority="255">
      <formula>$DC$16=1</formula>
    </cfRule>
  </conditionalFormatting>
  <conditionalFormatting sqref="CA42">
    <cfRule type="expression" dxfId="176" priority="254">
      <formula>$DC$16=1</formula>
    </cfRule>
  </conditionalFormatting>
  <conditionalFormatting sqref="CE39">
    <cfRule type="expression" dxfId="175" priority="252">
      <formula>$DC$16=1</formula>
    </cfRule>
  </conditionalFormatting>
  <conditionalFormatting sqref="CE40">
    <cfRule type="expression" dxfId="174" priority="251">
      <formula>$DC$16=1</formula>
    </cfRule>
  </conditionalFormatting>
  <conditionalFormatting sqref="CE41">
    <cfRule type="expression" dxfId="173" priority="250">
      <formula>$DC$16=1</formula>
    </cfRule>
  </conditionalFormatting>
  <conditionalFormatting sqref="CE42">
    <cfRule type="expression" dxfId="172" priority="249">
      <formula>$DC$16=1</formula>
    </cfRule>
  </conditionalFormatting>
  <conditionalFormatting sqref="CJ3:CK9">
    <cfRule type="expression" dxfId="171" priority="241">
      <formula>$DC$16=1</formula>
    </cfRule>
  </conditionalFormatting>
  <conditionalFormatting sqref="CJ26:CJ30">
    <cfRule type="expression" dxfId="170" priority="240">
      <formula>$DC$16=1</formula>
    </cfRule>
  </conditionalFormatting>
  <conditionalFormatting sqref="CJ56:CJ63">
    <cfRule type="expression" dxfId="169" priority="239">
      <formula>$DC$16=1</formula>
    </cfRule>
  </conditionalFormatting>
  <conditionalFormatting sqref="CJ39:CK46">
    <cfRule type="expression" dxfId="168" priority="238">
      <formula>$DC$16=1</formula>
    </cfRule>
  </conditionalFormatting>
  <conditionalFormatting sqref="CJ70:CK73">
    <cfRule type="expression" dxfId="167" priority="236">
      <formula>$DB$16=1</formula>
    </cfRule>
  </conditionalFormatting>
  <conditionalFormatting sqref="CK11">
    <cfRule type="expression" dxfId="166" priority="235">
      <formula>$DC$16=1</formula>
    </cfRule>
  </conditionalFormatting>
  <conditionalFormatting sqref="CK12:CK23">
    <cfRule type="expression" dxfId="165" priority="234">
      <formula>$DC$16=1</formula>
    </cfRule>
  </conditionalFormatting>
  <conditionalFormatting sqref="CK26">
    <cfRule type="expression" dxfId="164" priority="233">
      <formula>$DC$16=1</formula>
    </cfRule>
  </conditionalFormatting>
  <conditionalFormatting sqref="CK27:CK35">
    <cfRule type="expression" dxfId="163" priority="232">
      <formula>$DC$16=1</formula>
    </cfRule>
  </conditionalFormatting>
  <conditionalFormatting sqref="CK52">
    <cfRule type="expression" dxfId="162" priority="231">
      <formula>$DC$16=1</formula>
    </cfRule>
  </conditionalFormatting>
  <conditionalFormatting sqref="CK53">
    <cfRule type="expression" dxfId="161" priority="230">
      <formula>$DC$16=1</formula>
    </cfRule>
  </conditionalFormatting>
  <conditionalFormatting sqref="CK54">
    <cfRule type="expression" dxfId="160" priority="229">
      <formula>$DC$16=1</formula>
    </cfRule>
  </conditionalFormatting>
  <conditionalFormatting sqref="CK56">
    <cfRule type="expression" dxfId="159" priority="228">
      <formula>$DC$16=1</formula>
    </cfRule>
  </conditionalFormatting>
  <conditionalFormatting sqref="CK57">
    <cfRule type="expression" dxfId="158" priority="227">
      <formula>$DC$16=1</formula>
    </cfRule>
  </conditionalFormatting>
  <conditionalFormatting sqref="CK58">
    <cfRule type="expression" dxfId="157" priority="226">
      <formula>$DC$16=1</formula>
    </cfRule>
  </conditionalFormatting>
  <conditionalFormatting sqref="CK59">
    <cfRule type="expression" dxfId="156" priority="225">
      <formula>$DC$16=1</formula>
    </cfRule>
  </conditionalFormatting>
  <conditionalFormatting sqref="CK60">
    <cfRule type="expression" dxfId="155" priority="224">
      <formula>$DC$16=1</formula>
    </cfRule>
  </conditionalFormatting>
  <conditionalFormatting sqref="CK61">
    <cfRule type="expression" dxfId="154" priority="223">
      <formula>$DC$16=1</formula>
    </cfRule>
  </conditionalFormatting>
  <conditionalFormatting sqref="CK62">
    <cfRule type="expression" dxfId="153" priority="222">
      <formula>$DC$16=1</formula>
    </cfRule>
  </conditionalFormatting>
  <conditionalFormatting sqref="CK63">
    <cfRule type="expression" dxfId="152" priority="221">
      <formula>$DC$16=1</formula>
    </cfRule>
  </conditionalFormatting>
  <conditionalFormatting sqref="CK64">
    <cfRule type="expression" dxfId="151" priority="220">
      <formula>$DC$16=1</formula>
    </cfRule>
  </conditionalFormatting>
  <conditionalFormatting sqref="CK65">
    <cfRule type="expression" dxfId="150" priority="219">
      <formula>$DC$16=1</formula>
    </cfRule>
  </conditionalFormatting>
  <conditionalFormatting sqref="CK66">
    <cfRule type="expression" dxfId="149" priority="218">
      <formula>$DC$16=1</formula>
    </cfRule>
  </conditionalFormatting>
  <conditionalFormatting sqref="CK67">
    <cfRule type="expression" dxfId="148" priority="217">
      <formula>$DC$16=1</formula>
    </cfRule>
  </conditionalFormatting>
  <conditionalFormatting sqref="CK68">
    <cfRule type="expression" dxfId="147" priority="216">
      <formula>$DC$16=1</formula>
    </cfRule>
  </conditionalFormatting>
  <conditionalFormatting sqref="CK49">
    <cfRule type="expression" dxfId="146" priority="215">
      <formula>$DC$16=1</formula>
    </cfRule>
  </conditionalFormatting>
  <conditionalFormatting sqref="CK50">
    <cfRule type="expression" dxfId="145" priority="214">
      <formula>$DC$16=1</formula>
    </cfRule>
  </conditionalFormatting>
  <conditionalFormatting sqref="BS77">
    <cfRule type="expression" dxfId="144" priority="212">
      <formula>$DB$16=1</formula>
    </cfRule>
  </conditionalFormatting>
  <conditionalFormatting sqref="DD59">
    <cfRule type="expression" dxfId="143" priority="211">
      <formula>$DB$16=1</formula>
    </cfRule>
  </conditionalFormatting>
  <conditionalFormatting sqref="BW72">
    <cfRule type="expression" dxfId="142" priority="207">
      <formula>$DB$16=1</formula>
    </cfRule>
  </conditionalFormatting>
  <conditionalFormatting sqref="BW76">
    <cfRule type="expression" dxfId="141" priority="206">
      <formula>$DB$16=1</formula>
    </cfRule>
  </conditionalFormatting>
  <conditionalFormatting sqref="CA72">
    <cfRule type="expression" dxfId="140" priority="205">
      <formula>$DB$16=1</formula>
    </cfRule>
  </conditionalFormatting>
  <conditionalFormatting sqref="CA76">
    <cfRule type="expression" dxfId="139" priority="204">
      <formula>$DB$16=1</formula>
    </cfRule>
  </conditionalFormatting>
  <conditionalFormatting sqref="CE72">
    <cfRule type="expression" dxfId="138" priority="203">
      <formula>$DB$16=1</formula>
    </cfRule>
  </conditionalFormatting>
  <conditionalFormatting sqref="CE76">
    <cfRule type="expression" dxfId="137" priority="202">
      <formula>$DB$16=1</formula>
    </cfRule>
  </conditionalFormatting>
  <conditionalFormatting sqref="CH56:CH65">
    <cfRule type="expression" dxfId="136" priority="199">
      <formula>$DC$16=1</formula>
    </cfRule>
  </conditionalFormatting>
  <conditionalFormatting sqref="CH41:CH46">
    <cfRule type="expression" dxfId="135" priority="198">
      <formula>$DC$16=1</formula>
    </cfRule>
  </conditionalFormatting>
  <conditionalFormatting sqref="DE89">
    <cfRule type="expression" dxfId="134" priority="191">
      <formula>$DC$16=1</formula>
    </cfRule>
  </conditionalFormatting>
  <conditionalFormatting sqref="DE77">
    <cfRule type="expression" dxfId="133" priority="187">
      <formula>$DC$16=1</formula>
    </cfRule>
  </conditionalFormatting>
  <conditionalFormatting sqref="DE78">
    <cfRule type="expression" dxfId="132" priority="186">
      <formula>$DC$16=1</formula>
    </cfRule>
  </conditionalFormatting>
  <conditionalFormatting sqref="DE82">
    <cfRule type="expression" dxfId="131" priority="182">
      <formula>$DC$16=1</formula>
    </cfRule>
  </conditionalFormatting>
  <conditionalFormatting sqref="BW70:BW71 CA70:CA71 CE70:CE71 BW56:BW67 CA56:CA67 CE56:CE67 DD48 DD50 BW44:BW46 CA44:CA46 CE44:CE46 BP64:BQ66 BW75 CA75 CE75 CJ64:CJ67">
    <cfRule type="expression" dxfId="130" priority="458">
      <formula>#REF!=1</formula>
    </cfRule>
  </conditionalFormatting>
  <conditionalFormatting sqref="BW26:BW30 CA26:CA30 CE26:CE30 BW3:BW10 CA3:CA10 CE3:CE10 CH3:CH9 CH26:CH30">
    <cfRule type="expression" dxfId="129" priority="477">
      <formula>#REF!=1</formula>
    </cfRule>
  </conditionalFormatting>
  <conditionalFormatting sqref="BS93">
    <cfRule type="expression" dxfId="128" priority="173">
      <formula>$DB$16=1</formula>
    </cfRule>
  </conditionalFormatting>
  <conditionalFormatting sqref="DV54">
    <cfRule type="expression" dxfId="127" priority="175">
      <formula>#REF!=1</formula>
    </cfRule>
  </conditionalFormatting>
  <conditionalFormatting sqref="DV54">
    <cfRule type="expression" dxfId="126" priority="176">
      <formula>#REF!&gt;0</formula>
    </cfRule>
  </conditionalFormatting>
  <conditionalFormatting sqref="DU54">
    <cfRule type="expression" dxfId="125" priority="174">
      <formula>$DB$16=1</formula>
    </cfRule>
  </conditionalFormatting>
  <conditionalFormatting sqref="BS86:BS89">
    <cfRule type="expression" dxfId="124" priority="172">
      <formula>$DB$16=1</formula>
    </cfRule>
  </conditionalFormatting>
  <conditionalFormatting sqref="BS94">
    <cfRule type="expression" dxfId="123" priority="171">
      <formula>$DB$16=1</formula>
    </cfRule>
  </conditionalFormatting>
  <conditionalFormatting sqref="A5:B5">
    <cfRule type="expression" dxfId="122" priority="168">
      <formula>SUM($AD$3:$AD$6)&gt;0</formula>
    </cfRule>
  </conditionalFormatting>
  <conditionalFormatting sqref="C5">
    <cfRule type="expression" dxfId="121" priority="167">
      <formula>SUM($AD$3:$AD$6)&gt;0</formula>
    </cfRule>
  </conditionalFormatting>
  <conditionalFormatting sqref="G29:G30 G49 G35:G36 G42">
    <cfRule type="expression" dxfId="120" priority="166">
      <formula>$C$2 = "Classic Maple"</formula>
    </cfRule>
  </conditionalFormatting>
  <conditionalFormatting sqref="C22:F30 E21 G21">
    <cfRule type="expression" dxfId="119" priority="163">
      <formula>$AD$10=0</formula>
    </cfRule>
  </conditionalFormatting>
  <conditionalFormatting sqref="E31 G31 C32:F36">
    <cfRule type="expression" dxfId="118" priority="162">
      <formula>$AD$11=0</formula>
    </cfRule>
  </conditionalFormatting>
  <conditionalFormatting sqref="C44:F49 E43 G43 D50:E50 GH27 GH28:GI28 GG26">
    <cfRule type="expression" dxfId="117" priority="161">
      <formula>$AD$13=0</formula>
    </cfRule>
  </conditionalFormatting>
  <conditionalFormatting sqref="CU3:CU9">
    <cfRule type="expression" dxfId="116" priority="158">
      <formula>$DC$16=1</formula>
    </cfRule>
  </conditionalFormatting>
  <conditionalFormatting sqref="CH70:CH73">
    <cfRule type="expression" dxfId="115" priority="149">
      <formula>$DB$16=1</formula>
    </cfRule>
  </conditionalFormatting>
  <conditionalFormatting sqref="CH77">
    <cfRule type="expression" dxfId="114" priority="148">
      <formula>$DB$16=1</formula>
    </cfRule>
  </conditionalFormatting>
  <conditionalFormatting sqref="G28">
    <cfRule type="expression" dxfId="113" priority="144">
      <formula>$EB$17&lt;1</formula>
    </cfRule>
  </conditionalFormatting>
  <conditionalFormatting sqref="G46">
    <cfRule type="expression" dxfId="112" priority="143">
      <formula>$BS$84="Triple_Flange"</formula>
    </cfRule>
  </conditionalFormatting>
  <conditionalFormatting sqref="CU10">
    <cfRule type="expression" dxfId="111" priority="142">
      <formula>$DC$16=1</formula>
    </cfRule>
  </conditionalFormatting>
  <conditionalFormatting sqref="CU11">
    <cfRule type="expression" dxfId="110" priority="141">
      <formula>$DC$16=1</formula>
    </cfRule>
  </conditionalFormatting>
  <conditionalFormatting sqref="CU12:CU23">
    <cfRule type="expression" dxfId="109" priority="140">
      <formula>$DC$16=1</formula>
    </cfRule>
  </conditionalFormatting>
  <conditionalFormatting sqref="CU26:CU35">
    <cfRule type="expression" dxfId="108" priority="139">
      <formula>$DC$16=1</formula>
    </cfRule>
  </conditionalFormatting>
  <conditionalFormatting sqref="CU39:CU67">
    <cfRule type="expression" dxfId="107" priority="138">
      <formula>$DC$16=1</formula>
    </cfRule>
  </conditionalFormatting>
  <conditionalFormatting sqref="H2:J2">
    <cfRule type="expression" dxfId="106" priority="136">
      <formula>$X$22&gt;0</formula>
    </cfRule>
  </conditionalFormatting>
  <conditionalFormatting sqref="H3:J3">
    <cfRule type="expression" dxfId="105" priority="135">
      <formula>$X$23&gt;0</formula>
    </cfRule>
  </conditionalFormatting>
  <conditionalFormatting sqref="H4:I4">
    <cfRule type="expression" dxfId="104" priority="134">
      <formula>$X$24&gt;0</formula>
    </cfRule>
  </conditionalFormatting>
  <conditionalFormatting sqref="H5:I5">
    <cfRule type="expression" dxfId="103" priority="133">
      <formula>$X$25&gt;0</formula>
    </cfRule>
  </conditionalFormatting>
  <conditionalFormatting sqref="D2">
    <cfRule type="expression" dxfId="102" priority="131">
      <formula>$AM$30&gt;0</formula>
    </cfRule>
  </conditionalFormatting>
  <conditionalFormatting sqref="CR97:CR101 CR111">
    <cfRule type="expression" dxfId="101" priority="127">
      <formula>#REF!=1</formula>
    </cfRule>
  </conditionalFormatting>
  <conditionalFormatting sqref="CR107">
    <cfRule type="expression" dxfId="100" priority="126">
      <formula>#REF!=1</formula>
    </cfRule>
  </conditionalFormatting>
  <conditionalFormatting sqref="CR105">
    <cfRule type="expression" dxfId="99" priority="125">
      <formula>#REF!=1</formula>
    </cfRule>
  </conditionalFormatting>
  <conditionalFormatting sqref="CR108">
    <cfRule type="expression" dxfId="98" priority="124">
      <formula>#REF!=1</formula>
    </cfRule>
  </conditionalFormatting>
  <conditionalFormatting sqref="CR113:CR114">
    <cfRule type="expression" dxfId="97" priority="123">
      <formula>#REF!=1</formula>
    </cfRule>
  </conditionalFormatting>
  <conditionalFormatting sqref="CR113">
    <cfRule type="expression" dxfId="96" priority="128">
      <formula>#REF!&gt;0</formula>
    </cfRule>
  </conditionalFormatting>
  <conditionalFormatting sqref="CR96 CR98">
    <cfRule type="expression" dxfId="95" priority="129">
      <formula>#REF!&gt;0</formula>
    </cfRule>
  </conditionalFormatting>
  <conditionalFormatting sqref="CR111:CR112 CR114">
    <cfRule type="expression" dxfId="94" priority="130">
      <formula>#REF!&gt;0</formula>
    </cfRule>
  </conditionalFormatting>
  <conditionalFormatting sqref="J6">
    <cfRule type="expression" dxfId="93" priority="122">
      <formula>$W$5=0</formula>
    </cfRule>
  </conditionalFormatting>
  <conditionalFormatting sqref="DE4">
    <cfRule type="expression" dxfId="92" priority="121">
      <formula>$DC$16=1</formula>
    </cfRule>
  </conditionalFormatting>
  <conditionalFormatting sqref="DE5">
    <cfRule type="expression" dxfId="91" priority="120">
      <formula>$DC$16=1</formula>
    </cfRule>
  </conditionalFormatting>
  <conditionalFormatting sqref="DE6">
    <cfRule type="expression" dxfId="90" priority="119">
      <formula>$DC$16=1</formula>
    </cfRule>
  </conditionalFormatting>
  <conditionalFormatting sqref="DE7">
    <cfRule type="expression" dxfId="89" priority="118">
      <formula>$DC$16=1</formula>
    </cfRule>
  </conditionalFormatting>
  <conditionalFormatting sqref="DE8">
    <cfRule type="expression" dxfId="88" priority="117">
      <formula>$DC$16=1</formula>
    </cfRule>
  </conditionalFormatting>
  <conditionalFormatting sqref="DE9">
    <cfRule type="expression" dxfId="87" priority="116">
      <formula>$DC$16=1</formula>
    </cfRule>
  </conditionalFormatting>
  <conditionalFormatting sqref="DE10">
    <cfRule type="expression" dxfId="86" priority="115">
      <formula>$DC$16=1</formula>
    </cfRule>
  </conditionalFormatting>
  <conditionalFormatting sqref="DE11">
    <cfRule type="expression" dxfId="85" priority="114">
      <formula>$DC$16=1</formula>
    </cfRule>
  </conditionalFormatting>
  <conditionalFormatting sqref="DE12">
    <cfRule type="expression" dxfId="84" priority="113">
      <formula>$DC$16=1</formula>
    </cfRule>
  </conditionalFormatting>
  <conditionalFormatting sqref="DE13">
    <cfRule type="expression" dxfId="83" priority="112">
      <formula>$DC$16=1</formula>
    </cfRule>
  </conditionalFormatting>
  <conditionalFormatting sqref="DE14">
    <cfRule type="expression" dxfId="82" priority="111">
      <formula>$DC$16=1</formula>
    </cfRule>
  </conditionalFormatting>
  <conditionalFormatting sqref="DE15">
    <cfRule type="expression" dxfId="81" priority="110">
      <formula>$DC$16=1</formula>
    </cfRule>
  </conditionalFormatting>
  <conditionalFormatting sqref="DE16">
    <cfRule type="expression" dxfId="80" priority="109">
      <formula>$DC$16=1</formula>
    </cfRule>
  </conditionalFormatting>
  <conditionalFormatting sqref="DE17">
    <cfRule type="expression" dxfId="79" priority="108">
      <formula>$DC$16=1</formula>
    </cfRule>
  </conditionalFormatting>
  <conditionalFormatting sqref="DE18">
    <cfRule type="expression" dxfId="78" priority="107">
      <formula>$DC$16=1</formula>
    </cfRule>
  </conditionalFormatting>
  <conditionalFormatting sqref="DE19">
    <cfRule type="expression" dxfId="77" priority="106">
      <formula>$DC$16=1</formula>
    </cfRule>
  </conditionalFormatting>
  <conditionalFormatting sqref="DE20">
    <cfRule type="expression" dxfId="76" priority="105">
      <formula>$DC$16=1</formula>
    </cfRule>
  </conditionalFormatting>
  <conditionalFormatting sqref="DE21">
    <cfRule type="expression" dxfId="75" priority="104">
      <formula>$DC$16=1</formula>
    </cfRule>
  </conditionalFormatting>
  <conditionalFormatting sqref="DE22">
    <cfRule type="expression" dxfId="74" priority="103">
      <formula>$DC$16=1</formula>
    </cfRule>
  </conditionalFormatting>
  <conditionalFormatting sqref="DE23">
    <cfRule type="expression" dxfId="73" priority="102">
      <formula>$DC$16=1</formula>
    </cfRule>
  </conditionalFormatting>
  <conditionalFormatting sqref="DE24">
    <cfRule type="expression" dxfId="72" priority="101">
      <formula>$DC$16=1</formula>
    </cfRule>
  </conditionalFormatting>
  <conditionalFormatting sqref="DE25">
    <cfRule type="expression" dxfId="71" priority="100">
      <formula>$DC$16=1</formula>
    </cfRule>
  </conditionalFormatting>
  <conditionalFormatting sqref="DE26">
    <cfRule type="expression" dxfId="70" priority="99">
      <formula>$DC$16=1</formula>
    </cfRule>
  </conditionalFormatting>
  <conditionalFormatting sqref="DE27">
    <cfRule type="expression" dxfId="69" priority="98">
      <formula>$DC$16=1</formula>
    </cfRule>
  </conditionalFormatting>
  <conditionalFormatting sqref="DE28">
    <cfRule type="expression" dxfId="68" priority="97">
      <formula>$DC$16=1</formula>
    </cfRule>
  </conditionalFormatting>
  <conditionalFormatting sqref="DE29">
    <cfRule type="expression" dxfId="67" priority="96">
      <formula>$DC$16=1</formula>
    </cfRule>
  </conditionalFormatting>
  <conditionalFormatting sqref="DE30:DE40">
    <cfRule type="expression" dxfId="66" priority="95">
      <formula>$DC$16=1</formula>
    </cfRule>
  </conditionalFormatting>
  <conditionalFormatting sqref="G27">
    <cfRule type="expression" dxfId="65" priority="93">
      <formula>$EW$21&lt;1</formula>
    </cfRule>
  </conditionalFormatting>
  <conditionalFormatting sqref="E37">
    <cfRule type="expression" dxfId="64" priority="92">
      <formula>$AD$11+$AD$12=0</formula>
    </cfRule>
  </conditionalFormatting>
  <conditionalFormatting sqref="C38:F42 E37:G37">
    <cfRule type="expression" dxfId="63" priority="82">
      <formula>$AD$12=0</formula>
    </cfRule>
  </conditionalFormatting>
  <conditionalFormatting sqref="G41">
    <cfRule type="expression" dxfId="62" priority="81">
      <formula>$C$2 = "Classic Maple"</formula>
    </cfRule>
  </conditionalFormatting>
  <conditionalFormatting sqref="L8:L20">
    <cfRule type="expression" dxfId="61" priority="80">
      <formula>L8=0</formula>
    </cfRule>
  </conditionalFormatting>
  <conditionalFormatting sqref="GG16">
    <cfRule type="expression" dxfId="60" priority="58">
      <formula>$DB$16=1</formula>
    </cfRule>
  </conditionalFormatting>
  <conditionalFormatting sqref="BS79">
    <cfRule type="expression" dxfId="59" priority="78">
      <formula>$DB$16=1</formula>
    </cfRule>
  </conditionalFormatting>
  <conditionalFormatting sqref="GG7">
    <cfRule type="expression" dxfId="58" priority="56">
      <formula>$DB$16=1</formula>
    </cfRule>
  </conditionalFormatting>
  <conditionalFormatting sqref="BW78">
    <cfRule type="expression" dxfId="57" priority="76">
      <formula>$DB$16=1</formula>
    </cfRule>
  </conditionalFormatting>
  <conditionalFormatting sqref="GH10">
    <cfRule type="expression" dxfId="56" priority="54">
      <formula>$DB$16=1</formula>
    </cfRule>
  </conditionalFormatting>
  <conditionalFormatting sqref="CA78">
    <cfRule type="expression" dxfId="55" priority="74">
      <formula>$DB$16=1</formula>
    </cfRule>
  </conditionalFormatting>
  <conditionalFormatting sqref="GH12">
    <cfRule type="expression" dxfId="54" priority="52">
      <formula>$DB$16=1</formula>
    </cfRule>
  </conditionalFormatting>
  <conditionalFormatting sqref="CE78">
    <cfRule type="expression" dxfId="53" priority="72">
      <formula>$DB$16=1</formula>
    </cfRule>
  </conditionalFormatting>
  <conditionalFormatting sqref="GH14">
    <cfRule type="expression" dxfId="52" priority="50">
      <formula>$DB$16=1</formula>
    </cfRule>
  </conditionalFormatting>
  <conditionalFormatting sqref="CH79">
    <cfRule type="expression" dxfId="51" priority="70">
      <formula>$DB$16=1</formula>
    </cfRule>
  </conditionalFormatting>
  <conditionalFormatting sqref="CU75">
    <cfRule type="expression" dxfId="50" priority="69">
      <formula>$DB$16=1</formula>
    </cfRule>
  </conditionalFormatting>
  <conditionalFormatting sqref="CU80">
    <cfRule type="expression" dxfId="49" priority="68">
      <formula>$DB$16=1</formula>
    </cfRule>
  </conditionalFormatting>
  <conditionalFormatting sqref="DD68">
    <cfRule type="expression" dxfId="48" priority="67">
      <formula>$DB$16=1</formula>
    </cfRule>
  </conditionalFormatting>
  <conditionalFormatting sqref="DD69">
    <cfRule type="expression" dxfId="47" priority="66">
      <formula>$DB$16=1</formula>
    </cfRule>
  </conditionalFormatting>
  <conditionalFormatting sqref="DE68">
    <cfRule type="expression" dxfId="46" priority="65">
      <formula>$DC$16=1</formula>
    </cfRule>
  </conditionalFormatting>
  <conditionalFormatting sqref="DE69">
    <cfRule type="expression" dxfId="45" priority="64">
      <formula>$DC$16=1</formula>
    </cfRule>
  </conditionalFormatting>
  <conditionalFormatting sqref="BS96">
    <cfRule type="expression" dxfId="44" priority="63">
      <formula>$DB$16=1</formula>
    </cfRule>
  </conditionalFormatting>
  <conditionalFormatting sqref="F50">
    <cfRule type="expression" dxfId="43" priority="62">
      <formula>$AD$13=0</formula>
    </cfRule>
  </conditionalFormatting>
  <conditionalFormatting sqref="GH19">
    <cfRule type="expression" dxfId="42" priority="45">
      <formula>$DB$16=1</formula>
    </cfRule>
  </conditionalFormatting>
  <conditionalFormatting sqref="GG9:GG12">
    <cfRule type="expression" dxfId="41" priority="59">
      <formula>$DB$16=1</formula>
    </cfRule>
  </conditionalFormatting>
  <conditionalFormatting sqref="GH11">
    <cfRule type="expression" dxfId="40" priority="53">
      <formula>$DB$16=1</formula>
    </cfRule>
  </conditionalFormatting>
  <conditionalFormatting sqref="GH9">
    <cfRule type="expression" dxfId="39" priority="55">
      <formula>$DB$16=1</formula>
    </cfRule>
  </conditionalFormatting>
  <conditionalFormatting sqref="GH13">
    <cfRule type="expression" dxfId="38" priority="51">
      <formula>$DB$16=1</formula>
    </cfRule>
  </conditionalFormatting>
  <conditionalFormatting sqref="GH15">
    <cfRule type="expression" dxfId="37" priority="49">
      <formula>$DB$16=1</formula>
    </cfRule>
  </conditionalFormatting>
  <conditionalFormatting sqref="GH16">
    <cfRule type="expression" dxfId="36" priority="48">
      <formula>$DB$16=1</formula>
    </cfRule>
  </conditionalFormatting>
  <conditionalFormatting sqref="GH17">
    <cfRule type="expression" dxfId="35" priority="47">
      <formula>$DB$16=1</formula>
    </cfRule>
  </conditionalFormatting>
  <conditionalFormatting sqref="GH18">
    <cfRule type="expression" dxfId="34" priority="46">
      <formula>$DB$16=1</formula>
    </cfRule>
  </conditionalFormatting>
  <conditionalFormatting sqref="GH20">
    <cfRule type="expression" dxfId="33" priority="44">
      <formula>$DB$16=1</formula>
    </cfRule>
  </conditionalFormatting>
  <conditionalFormatting sqref="GG18">
    <cfRule type="expression" dxfId="32" priority="43">
      <formula>$DB$16=1</formula>
    </cfRule>
  </conditionalFormatting>
  <conditionalFormatting sqref="GG25">
    <cfRule type="expression" dxfId="31" priority="42">
      <formula>$AD$13=0</formula>
    </cfRule>
  </conditionalFormatting>
  <conditionalFormatting sqref="GH31">
    <cfRule type="expression" dxfId="30" priority="39">
      <formula>$AD$13=0</formula>
    </cfRule>
  </conditionalFormatting>
  <conditionalFormatting sqref="G50">
    <cfRule type="expression" dxfId="29" priority="38">
      <formula>$GH$21="Yes"</formula>
    </cfRule>
  </conditionalFormatting>
  <conditionalFormatting sqref="DW59">
    <cfRule type="expression" dxfId="28" priority="37">
      <formula>#REF!&gt;0</formula>
    </cfRule>
  </conditionalFormatting>
  <conditionalFormatting sqref="DW43">
    <cfRule type="expression" dxfId="27" priority="35">
      <formula>#REF!=1</formula>
    </cfRule>
  </conditionalFormatting>
  <conditionalFormatting sqref="DW43">
    <cfRule type="expression" dxfId="26" priority="36">
      <formula>#REF!&gt;0</formula>
    </cfRule>
  </conditionalFormatting>
  <conditionalFormatting sqref="AT51">
    <cfRule type="expression" dxfId="25" priority="27">
      <formula>$DC$16=1</formula>
    </cfRule>
  </conditionalFormatting>
  <conditionalFormatting sqref="AT71">
    <cfRule type="expression" dxfId="24" priority="26">
      <formula>$DB$16=1</formula>
    </cfRule>
  </conditionalFormatting>
  <conditionalFormatting sqref="AT4:AT10">
    <cfRule type="expression" dxfId="23" priority="25">
      <formula>$DC$16=1</formula>
    </cfRule>
  </conditionalFormatting>
  <conditionalFormatting sqref="AT35:AT42">
    <cfRule type="expression" dxfId="22" priority="24">
      <formula>$DC$16=1</formula>
    </cfRule>
  </conditionalFormatting>
  <conditionalFormatting sqref="AT64:AT67">
    <cfRule type="expression" dxfId="21" priority="23">
      <formula>$DB$16=1</formula>
    </cfRule>
  </conditionalFormatting>
  <conditionalFormatting sqref="AT12">
    <cfRule type="expression" dxfId="20" priority="22">
      <formula>$DC$16=1</formula>
    </cfRule>
  </conditionalFormatting>
  <conditionalFormatting sqref="AT13:AT24">
    <cfRule type="expression" dxfId="19" priority="21">
      <formula>$DC$16=1</formula>
    </cfRule>
  </conditionalFormatting>
  <conditionalFormatting sqref="AT25">
    <cfRule type="expression" dxfId="18" priority="20">
      <formula>$DC$16=1</formula>
    </cfRule>
  </conditionalFormatting>
  <conditionalFormatting sqref="AT26:AT34">
    <cfRule type="expression" dxfId="17" priority="19">
      <formula>$DC$16=1</formula>
    </cfRule>
  </conditionalFormatting>
  <conditionalFormatting sqref="AT48">
    <cfRule type="expression" dxfId="16" priority="18">
      <formula>$DC$16=1</formula>
    </cfRule>
  </conditionalFormatting>
  <conditionalFormatting sqref="AT49">
    <cfRule type="expression" dxfId="15" priority="17">
      <formula>$DC$16=1</formula>
    </cfRule>
  </conditionalFormatting>
  <conditionalFormatting sqref="AT50">
    <cfRule type="expression" dxfId="14" priority="16">
      <formula>$DC$16=1</formula>
    </cfRule>
  </conditionalFormatting>
  <conditionalFormatting sqref="AT52">
    <cfRule type="expression" dxfId="13" priority="15">
      <formula>$DC$16=1</formula>
    </cfRule>
  </conditionalFormatting>
  <conditionalFormatting sqref="AT53">
    <cfRule type="expression" dxfId="12" priority="14">
      <formula>$DC$16=1</formula>
    </cfRule>
  </conditionalFormatting>
  <conditionalFormatting sqref="AT54">
    <cfRule type="expression" dxfId="11" priority="13">
      <formula>$DC$16=1</formula>
    </cfRule>
  </conditionalFormatting>
  <conditionalFormatting sqref="AT55">
    <cfRule type="expression" dxfId="10" priority="12">
      <formula>$DC$16=1</formula>
    </cfRule>
  </conditionalFormatting>
  <conditionalFormatting sqref="AT56">
    <cfRule type="expression" dxfId="9" priority="11">
      <formula>$DC$16=1</formula>
    </cfRule>
  </conditionalFormatting>
  <conditionalFormatting sqref="AT57">
    <cfRule type="expression" dxfId="8" priority="10">
      <formula>$DC$16=1</formula>
    </cfRule>
  </conditionalFormatting>
  <conditionalFormatting sqref="AT58">
    <cfRule type="expression" dxfId="7" priority="9">
      <formula>$DC$16=1</formula>
    </cfRule>
  </conditionalFormatting>
  <conditionalFormatting sqref="AT59">
    <cfRule type="expression" dxfId="6" priority="8">
      <formula>$DC$16=1</formula>
    </cfRule>
  </conditionalFormatting>
  <conditionalFormatting sqref="AT60">
    <cfRule type="expression" dxfId="5" priority="7">
      <formula>$DC$16=1</formula>
    </cfRule>
  </conditionalFormatting>
  <conditionalFormatting sqref="AT61">
    <cfRule type="expression" dxfId="4" priority="6">
      <formula>$DC$16=1</formula>
    </cfRule>
  </conditionalFormatting>
  <conditionalFormatting sqref="AT62">
    <cfRule type="expression" dxfId="3" priority="5">
      <formula>$DC$16=1</formula>
    </cfRule>
  </conditionalFormatting>
  <conditionalFormatting sqref="AT63">
    <cfRule type="expression" dxfId="2" priority="4">
      <formula>$DC$16=1</formula>
    </cfRule>
  </conditionalFormatting>
  <conditionalFormatting sqref="AT45">
    <cfRule type="expression" dxfId="1" priority="2">
      <formula>$DC$16=1</formula>
    </cfRule>
  </conditionalFormatting>
  <conditionalFormatting sqref="AT46">
    <cfRule type="expression" dxfId="0" priority="1">
      <formula>$DC$16=1</formula>
    </cfRule>
  </conditionalFormatting>
  <dataValidations count="24">
    <dataValidation type="list" allowBlank="1" showInputMessage="1" showErrorMessage="1" sqref="C2" xr:uid="{00000000-0002-0000-0000-000000000000}">
      <formula1>Shell</formula1>
    </dataValidation>
    <dataValidation type="list" allowBlank="1" showInputMessage="1" showErrorMessage="1" sqref="B8:B20" xr:uid="{00000000-0002-0000-0000-000001000000}">
      <formula1>Type</formula1>
    </dataValidation>
    <dataValidation type="list" allowBlank="1" showInputMessage="1" showErrorMessage="1" sqref="C4" xr:uid="{00000000-0002-0000-0000-000002000000}">
      <formula1>INDIRECT(Badge)</formula1>
    </dataValidation>
    <dataValidation type="list" allowBlank="1" showInputMessage="1" showErrorMessage="1" sqref="C3" xr:uid="{00000000-0002-0000-0000-000003000000}">
      <formula1>INDIRECT(CONCATENATE(VLOOKUP(C2,$AE$3:$AF$7,2,FALSE),"_Finish"))</formula1>
    </dataValidation>
    <dataValidation type="list" allowBlank="1" showInputMessage="1" showErrorMessage="1" sqref="G25" xr:uid="{00000000-0002-0000-0000-000004000000}">
      <formula1>BD_Front_Head</formula1>
    </dataValidation>
    <dataValidation type="list" allowBlank="1" showInputMessage="1" showErrorMessage="1" sqref="G27" xr:uid="{00000000-0002-0000-0000-000005000000}">
      <formula1>bd_screws</formula1>
    </dataValidation>
    <dataValidation type="list" allowBlank="1" showInputMessage="1" showErrorMessage="1" sqref="G32 G45 G38" xr:uid="{00000000-0002-0000-0000-000006000000}">
      <formula1>"Baseball Bat Tone Control"</formula1>
    </dataValidation>
    <dataValidation type="list" allowBlank="1" showInputMessage="1" showErrorMessage="1" sqref="G33 G39" xr:uid="{00000000-0002-0000-0000-000007000000}">
      <formula1>"Coated Ambassador, Clear Ambassador"</formula1>
    </dataValidation>
    <dataValidation type="list" allowBlank="1" showInputMessage="1" showErrorMessage="1" sqref="G44" xr:uid="{00000000-0002-0000-0000-000008000000}">
      <formula1>"P33 Die Cast,P32 Stamped"</formula1>
    </dataValidation>
    <dataValidation type="list" allowBlank="1" showInputMessage="1" showErrorMessage="1" sqref="G46" xr:uid="{00000000-0002-0000-0000-000009000000}">
      <formula1>INDIRECT($BS$84)</formula1>
    </dataValidation>
    <dataValidation type="list" allowBlank="1" showInputMessage="1" showErrorMessage="1" sqref="G47" xr:uid="{00000000-0002-0000-0000-00000A000000}">
      <formula1>"Medium Coated"</formula1>
    </dataValidation>
    <dataValidation type="whole" allowBlank="1" showInputMessage="1" showErrorMessage="1" sqref="A8:A20" xr:uid="{00000000-0002-0000-0000-00000B000000}">
      <formula1>1</formula1>
      <formula2>99</formula2>
    </dataValidation>
    <dataValidation type="list" allowBlank="1" showInputMessage="1" showErrorMessage="1" sqref="G8:G20" xr:uid="{00000000-0002-0000-0000-00000C000000}">
      <formula1>INDIRECT(GB8)</formula1>
    </dataValidation>
    <dataValidation type="list" allowBlank="1" showInputMessage="1" showErrorMessage="1" sqref="C5" xr:uid="{00000000-0002-0000-0000-00000D000000}">
      <formula1>INDIRECT($AM$25)</formula1>
    </dataValidation>
    <dataValidation type="list" allowBlank="1" showInputMessage="1" showErrorMessage="1" sqref="G28" xr:uid="{00000000-0002-0000-0000-00000E000000}">
      <formula1>INDIRECT(EC19)</formula1>
    </dataValidation>
    <dataValidation type="list" allowBlank="1" showInputMessage="1" showErrorMessage="1" sqref="G24" xr:uid="{00000000-0002-0000-0000-00000F000000}">
      <formula1>INDIRECT(B23)</formula1>
    </dataValidation>
    <dataValidation type="list" allowBlank="1" showInputMessage="1" showErrorMessage="1" sqref="G22:G23" xr:uid="{00000000-0002-0000-0000-000010000000}">
      <formula1>INDIRECT(B25)</formula1>
    </dataValidation>
    <dataValidation type="list" allowBlank="1" showInputMessage="1" showErrorMessage="1" sqref="G29 G41 G35 G49" xr:uid="{00000000-0002-0000-0000-000011000000}">
      <formula1>INDIRECT($B$29)</formula1>
    </dataValidation>
    <dataValidation type="list" allowBlank="1" showInputMessage="1" showErrorMessage="1" sqref="G30 G36 G42" xr:uid="{00000000-0002-0000-0000-000012000000}">
      <formula1>INDIRECT(A30)</formula1>
    </dataValidation>
    <dataValidation type="list" allowBlank="1" showInputMessage="1" showErrorMessage="1" sqref="V1 L1" xr:uid="{00000000-0002-0000-0000-000014000000}">
      <formula1>Discount</formula1>
    </dataValidation>
    <dataValidation type="list" allowBlank="1" showInputMessage="1" showErrorMessage="1" sqref="GH31 GG26" xr:uid="{00000000-0002-0000-0000-000015000000}">
      <formula1>"'Vintage '63"</formula1>
    </dataValidation>
    <dataValidation type="list" allowBlank="1" showInputMessage="1" showErrorMessage="1" sqref="G50" xr:uid="{00000000-0002-0000-0000-000016000000}">
      <formula1>INDIRECT($GH$28)</formula1>
    </dataValidation>
    <dataValidation type="list" showInputMessage="1" showErrorMessage="1" sqref="C8:C20" xr:uid="{00000000-0002-0000-0000-000013000000}">
      <formula1>INDIRECT(CONCATENATE(VLOOKUP($C$2,$AE$3:$AF$7,2,FALSE),"_",B8,"_Size"))</formula1>
    </dataValidation>
    <dataValidation type="list" allowBlank="1" showInputMessage="1" showErrorMessage="1" sqref="E8:E20" xr:uid="{00000000-0002-0000-0000-000018000000}">
      <formula1>INDIRECT(VLOOKUP(C8,DD:DE,2,FALSE))</formula1>
    </dataValidation>
  </dataValidations>
  <pageMargins left="0.45" right="0.45" top="0.5" bottom="0.5" header="0.3" footer="0.3"/>
  <pageSetup fitToWidth="0" orientation="portrait" r:id="rId1"/>
  <headerFooter>
    <oddFooter>Page &amp;P of &amp;N</oddFooter>
  </headerFooter>
  <ignoredErrors>
    <ignoredError sqref="B25 B29"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101</vt:i4>
      </vt:variant>
    </vt:vector>
  </HeadingPairs>
  <TitlesOfParts>
    <vt:vector size="102" baseType="lpstr">
      <vt:lpstr>Outfitter</vt:lpstr>
      <vt:lpstr>AnyBrkt.Classic</vt:lpstr>
      <vt:lpstr>AnyBrkt.Long</vt:lpstr>
      <vt:lpstr>Badge</vt:lpstr>
      <vt:lpstr>Bass_DblSngl</vt:lpstr>
      <vt:lpstr>Bass_Mounts</vt:lpstr>
      <vt:lpstr>BD_Front_Head</vt:lpstr>
      <vt:lpstr>bd_screws</vt:lpstr>
      <vt:lpstr>Black_Cat</vt:lpstr>
      <vt:lpstr>CD_Bass_Mounts</vt:lpstr>
      <vt:lpstr>Classic_Maple_Badge</vt:lpstr>
      <vt:lpstr>Classic_Maple_Bass_Size</vt:lpstr>
      <vt:lpstr>Classic_Maple_Finish</vt:lpstr>
      <vt:lpstr>Classic_Maple_Floor_Size</vt:lpstr>
      <vt:lpstr>Classic_Maple_Snare_Size</vt:lpstr>
      <vt:lpstr>Classic_Maple_Tom_Size</vt:lpstr>
      <vt:lpstr>Classic_Oak_Badge</vt:lpstr>
      <vt:lpstr>Classic_Oak_Bass_Size</vt:lpstr>
      <vt:lpstr>Classic_Oak_Finish</vt:lpstr>
      <vt:lpstr>Classic_Oak_Floor_Size</vt:lpstr>
      <vt:lpstr>Classic_Oak_Snare_Size</vt:lpstr>
      <vt:lpstr>Classic_Oak_Tom_Size</vt:lpstr>
      <vt:lpstr>Clear_All</vt:lpstr>
      <vt:lpstr>Cortex</vt:lpstr>
      <vt:lpstr>DblSngl</vt:lpstr>
      <vt:lpstr>Diagonal</vt:lpstr>
      <vt:lpstr>Discount</vt:lpstr>
      <vt:lpstr>Double</vt:lpstr>
      <vt:lpstr>Edges_Classic_Maple</vt:lpstr>
      <vt:lpstr>Edges_Classic_Oak</vt:lpstr>
      <vt:lpstr>Edges_Legacy_Exotic</vt:lpstr>
      <vt:lpstr>Edges_Legacy_Mahogany</vt:lpstr>
      <vt:lpstr>Edges_Legacy_Maple</vt:lpstr>
      <vt:lpstr>Floor_DblSngl</vt:lpstr>
      <vt:lpstr>Floor_Mounts</vt:lpstr>
      <vt:lpstr>IntFin_Choice</vt:lpstr>
      <vt:lpstr>IntFin_Clear</vt:lpstr>
      <vt:lpstr>Legacy_Exotic_Badge</vt:lpstr>
      <vt:lpstr>Legacy_Exotic_Bass_Size</vt:lpstr>
      <vt:lpstr>Legacy_Exotic_Finish</vt:lpstr>
      <vt:lpstr>Legacy_Exotic_Floor_Size</vt:lpstr>
      <vt:lpstr>Legacy_Exotic_Snare_Size</vt:lpstr>
      <vt:lpstr>Legacy_Exotic_Tom_Size</vt:lpstr>
      <vt:lpstr>Legacy_Exotic_Type</vt:lpstr>
      <vt:lpstr>Legacy_Mahogany_Badge</vt:lpstr>
      <vt:lpstr>Legacy_Mahogany_Bass_Size</vt:lpstr>
      <vt:lpstr>Legacy_Mahogany_Finish</vt:lpstr>
      <vt:lpstr>Legacy_Mahogany_Floor_Size</vt:lpstr>
      <vt:lpstr>Legacy_Mahogany_Snare_Size</vt:lpstr>
      <vt:lpstr>Legacy_Mahogany_Tom_Size</vt:lpstr>
      <vt:lpstr>Legacy_Maple_Badge</vt:lpstr>
      <vt:lpstr>Legacy_Maple_Bass_Size</vt:lpstr>
      <vt:lpstr>Legacy_Maple_Finish</vt:lpstr>
      <vt:lpstr>Legacy_Maple_Floor_Size</vt:lpstr>
      <vt:lpstr>Legacy_Maple_Snare_size</vt:lpstr>
      <vt:lpstr>Legacy_Maple_Tom_Size</vt:lpstr>
      <vt:lpstr>LL_Bass_Mounts</vt:lpstr>
      <vt:lpstr>LL_Floor_Mounts</vt:lpstr>
      <vt:lpstr>MH</vt:lpstr>
      <vt:lpstr>ML</vt:lpstr>
      <vt:lpstr>MLLC</vt:lpstr>
      <vt:lpstr>MLLCLL</vt:lpstr>
      <vt:lpstr>MLLCLLLILT</vt:lpstr>
      <vt:lpstr>MLLCLLSIST</vt:lpstr>
      <vt:lpstr>MLLTSI</vt:lpstr>
      <vt:lpstr>MLLTSISTTB</vt:lpstr>
      <vt:lpstr>MLSI</vt:lpstr>
      <vt:lpstr>MLSIST</vt:lpstr>
      <vt:lpstr>MLSISTTB</vt:lpstr>
      <vt:lpstr>Mounts</vt:lpstr>
      <vt:lpstr>Naturals</vt:lpstr>
      <vt:lpstr>No_Shell_Mount</vt:lpstr>
      <vt:lpstr>OakSpray</vt:lpstr>
      <vt:lpstr>PDC</vt:lpstr>
      <vt:lpstr>Outfitter!Print_Titles</vt:lpstr>
      <vt:lpstr>PTTB</vt:lpstr>
      <vt:lpstr>Sable</vt:lpstr>
      <vt:lpstr>Satins</vt:lpstr>
      <vt:lpstr>sdBedChoice</vt:lpstr>
      <vt:lpstr>sdBedNoChoice</vt:lpstr>
      <vt:lpstr>Shell</vt:lpstr>
      <vt:lpstr>Shell_Mount</vt:lpstr>
      <vt:lpstr>ShellOnly.Classic</vt:lpstr>
      <vt:lpstr>ShellOnly.Long</vt:lpstr>
      <vt:lpstr>SISTTB</vt:lpstr>
      <vt:lpstr>SN0N</vt:lpstr>
      <vt:lpstr>Snare_Mounts</vt:lpstr>
      <vt:lpstr>Sprays</vt:lpstr>
      <vt:lpstr>Spurs_AECFN</vt:lpstr>
      <vt:lpstr>Spurs_AEFN</vt:lpstr>
      <vt:lpstr>Spurs_ECFN</vt:lpstr>
      <vt:lpstr>Spurs_EFN</vt:lpstr>
      <vt:lpstr>Spurs_FN</vt:lpstr>
      <vt:lpstr>Throw_P80</vt:lpstr>
      <vt:lpstr>Throws_85_86_88</vt:lpstr>
      <vt:lpstr>Tom_DblSngl</vt:lpstr>
      <vt:lpstr>Tom_Mounts</vt:lpstr>
      <vt:lpstr>Triple_Flange</vt:lpstr>
      <vt:lpstr>Type</vt:lpstr>
      <vt:lpstr>Wraps</vt:lpstr>
      <vt:lpstr>WrapsSN</vt:lpstr>
      <vt:lpstr>WrapsST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Devore, Gary</dc:creator>
  <cp:keywords/>
  <dc:description/>
  <cp:lastModifiedBy>Gary Devore</cp:lastModifiedBy>
  <cp:revision/>
  <cp:lastPrinted>2023-01-31T19:09:50Z</cp:lastPrinted>
  <dcterms:created xsi:type="dcterms:W3CDTF">2019-04-08T19:23:16Z</dcterms:created>
  <dcterms:modified xsi:type="dcterms:W3CDTF">2023-01-31T19:23:15Z</dcterms:modified>
  <cp:category/>
  <cp:contentStatus/>
</cp:coreProperties>
</file>