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/>
  <mc:AlternateContent xmlns:mc="http://schemas.openxmlformats.org/markup-compatibility/2006">
    <mc:Choice Requires="x15">
      <x15ac:absPath xmlns:x15ac="http://schemas.microsoft.com/office/spreadsheetml/2010/11/ac" url="https://connselmer-my.sharepoint.com/personal/gdevore_connselmer_com/Documents/Documents/Order Guides/October 25/"/>
    </mc:Choice>
  </mc:AlternateContent>
  <xr:revisionPtr revIDLastSave="52" documentId="8_{A17E7917-EDAD-428A-821B-90D344C44BAB}" xr6:coauthVersionLast="47" xr6:coauthVersionMax="47" xr10:uidLastSave="{52A97801-41E3-4C54-8F97-ED5A617F2AF0}"/>
  <workbookProtection workbookAlgorithmName="SHA-512" workbookHashValue="rYd4CjaFp3gczvCapp0eQZo4Hsjj0Dtrc9LU1aO5ZJ2j1qlvkSH9p3bUV/5reF8oeM0kg5/xUtT6B+rozYrChA==" workbookSaltValue="raA3vKjEtdEY/4mxIxLmeg==" workbookSpinCount="100000" lockStructure="1"/>
  <bookViews>
    <workbookView xWindow="28680" yWindow="-120" windowWidth="29040" windowHeight="15720" tabRatio="599" autoFilterDateGrouping="0" xr2:uid="{00000000-000D-0000-FFFF-FFFF00000000}"/>
  </bookViews>
  <sheets>
    <sheet name="Outfitter" sheetId="1" r:id="rId1"/>
    <sheet name="Dtls" sheetId="3" state="veryHidden" r:id="rId2"/>
    <sheet name="prd" sheetId="2" state="veryHidden" r:id="rId3"/>
  </sheets>
  <definedNames>
    <definedName name="_xlnm._FilterDatabase" localSheetId="1" hidden="1">Dtls!$G$3:$I$1639</definedName>
    <definedName name="_xlnm._FilterDatabase" localSheetId="0" hidden="1">Outfitter!$DA$13:$DB$33</definedName>
    <definedName name="_xlnm._FilterDatabase" localSheetId="2" hidden="1">prd!$C$3:$G$350</definedName>
    <definedName name="_xlnm.Print_Area" localSheetId="0">Print_Area_Formula</definedName>
    <definedName name="Print_Area_Formula">OFFSET(Outfitter!$KA$4,0,0,29,Outfitter!$JV$6)</definedName>
    <definedName name="_xlnm.Print_Titles" localSheetId="0">Outfitter!$JZ:$JZ,Outfitter!$1:$3</definedName>
    <definedName name="Select_All">Outfitter!$C$2:$C$5,Outfitter!$G$2:$G$3,Outfitter!$B$8:$C$20,Outfitter!$E$8:$E$20,Outfitter!$G$8:$G$20,Outfitter!$G$22:$G$30,Outfitter!$G$32:$G$36,Outfitter!$G$38:$G$42,Outfitter!$G$44:$G$50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B735" i="1" l="1"/>
  <c r="HB734" i="1"/>
  <c r="HB733" i="1"/>
  <c r="HB732" i="1"/>
  <c r="HB731" i="1"/>
  <c r="HB730" i="1"/>
  <c r="HB729" i="1"/>
  <c r="HB728" i="1"/>
  <c r="HB727" i="1"/>
  <c r="HB726" i="1"/>
  <c r="HB725" i="1"/>
  <c r="HB724" i="1"/>
  <c r="HB723" i="1"/>
  <c r="HB722" i="1"/>
  <c r="HB721" i="1"/>
  <c r="HB720" i="1"/>
  <c r="HB719" i="1"/>
  <c r="HB718" i="1"/>
  <c r="HB717" i="1"/>
  <c r="HB716" i="1"/>
  <c r="HB715" i="1"/>
  <c r="HB714" i="1"/>
  <c r="HB713" i="1"/>
  <c r="HB712" i="1"/>
  <c r="HB711" i="1"/>
  <c r="HB710" i="1"/>
  <c r="HB709" i="1"/>
  <c r="HB708" i="1"/>
  <c r="HB707" i="1"/>
  <c r="HB706" i="1"/>
  <c r="HB705" i="1"/>
  <c r="HB704" i="1"/>
  <c r="HB703" i="1"/>
  <c r="HB702" i="1"/>
  <c r="HB701" i="1"/>
  <c r="HB700" i="1"/>
  <c r="HB699" i="1"/>
  <c r="HB698" i="1"/>
  <c r="HB697" i="1"/>
  <c r="HB696" i="1"/>
  <c r="HB695" i="1"/>
  <c r="HB694" i="1"/>
  <c r="HB693" i="1"/>
  <c r="HB692" i="1"/>
  <c r="HB691" i="1"/>
  <c r="HB690" i="1"/>
  <c r="HB689" i="1"/>
  <c r="HB688" i="1"/>
  <c r="HB687" i="1"/>
  <c r="HB686" i="1"/>
  <c r="HB685" i="1"/>
  <c r="HB684" i="1"/>
  <c r="HB683" i="1"/>
  <c r="HB682" i="1"/>
  <c r="HB681" i="1"/>
  <c r="HB680" i="1"/>
  <c r="HB679" i="1"/>
  <c r="HB678" i="1"/>
  <c r="HB677" i="1"/>
  <c r="HB676" i="1"/>
  <c r="HB675" i="1"/>
  <c r="HB674" i="1"/>
  <c r="HB673" i="1"/>
  <c r="HB672" i="1"/>
  <c r="HB671" i="1"/>
  <c r="HB670" i="1"/>
  <c r="HB669" i="1"/>
  <c r="HB668" i="1"/>
  <c r="HB667" i="1"/>
  <c r="HB666" i="1"/>
  <c r="HB665" i="1"/>
  <c r="HB664" i="1"/>
  <c r="HB663" i="1"/>
  <c r="HB662" i="1"/>
  <c r="HB661" i="1"/>
  <c r="HB660" i="1"/>
  <c r="HB659" i="1"/>
  <c r="HB658" i="1"/>
  <c r="HB657" i="1"/>
  <c r="HB656" i="1"/>
  <c r="HB655" i="1"/>
  <c r="HB654" i="1"/>
  <c r="HB653" i="1"/>
  <c r="HB652" i="1"/>
  <c r="HB651" i="1"/>
  <c r="HB650" i="1"/>
  <c r="HB649" i="1"/>
  <c r="HB648" i="1"/>
  <c r="HB647" i="1"/>
  <c r="HB646" i="1"/>
  <c r="HB645" i="1"/>
  <c r="HB644" i="1"/>
  <c r="HB643" i="1"/>
  <c r="HB642" i="1"/>
  <c r="HB641" i="1"/>
  <c r="HB640" i="1"/>
  <c r="HB639" i="1"/>
  <c r="HB638" i="1"/>
  <c r="HB637" i="1"/>
  <c r="HB636" i="1"/>
  <c r="HB635" i="1"/>
  <c r="HB634" i="1"/>
  <c r="HB633" i="1"/>
  <c r="HB632" i="1"/>
  <c r="HB631" i="1"/>
  <c r="HB630" i="1"/>
  <c r="HB629" i="1"/>
  <c r="HB628" i="1"/>
  <c r="HB627" i="1"/>
  <c r="HB626" i="1"/>
  <c r="HB625" i="1"/>
  <c r="HB624" i="1"/>
  <c r="HB623" i="1"/>
  <c r="HB622" i="1"/>
  <c r="HB621" i="1"/>
  <c r="HB620" i="1"/>
  <c r="HB619" i="1"/>
  <c r="HB618" i="1"/>
  <c r="HB617" i="1"/>
  <c r="HB616" i="1"/>
  <c r="HB615" i="1"/>
  <c r="HB614" i="1"/>
  <c r="HB613" i="1"/>
  <c r="HB612" i="1"/>
  <c r="HB611" i="1"/>
  <c r="HB610" i="1"/>
  <c r="HB609" i="1"/>
  <c r="HB608" i="1"/>
  <c r="HB607" i="1"/>
  <c r="HB606" i="1"/>
  <c r="HB605" i="1"/>
  <c r="HB604" i="1"/>
  <c r="HB603" i="1"/>
  <c r="HB602" i="1"/>
  <c r="HB601" i="1"/>
  <c r="HB600" i="1"/>
  <c r="HB599" i="1"/>
  <c r="HB598" i="1"/>
  <c r="HB597" i="1"/>
  <c r="HB596" i="1"/>
  <c r="HB595" i="1"/>
  <c r="HB594" i="1"/>
  <c r="HB593" i="1"/>
  <c r="HB592" i="1"/>
  <c r="HB591" i="1"/>
  <c r="HB590" i="1"/>
  <c r="HB589" i="1"/>
  <c r="HB588" i="1"/>
  <c r="HB587" i="1"/>
  <c r="HB586" i="1"/>
  <c r="HB585" i="1"/>
  <c r="HB584" i="1"/>
  <c r="HB583" i="1"/>
  <c r="HB582" i="1"/>
  <c r="HB581" i="1"/>
  <c r="HB580" i="1"/>
  <c r="HB579" i="1"/>
  <c r="HB578" i="1"/>
  <c r="HB577" i="1"/>
  <c r="HB576" i="1"/>
  <c r="HB575" i="1"/>
  <c r="HB574" i="1"/>
  <c r="HB573" i="1"/>
  <c r="HB572" i="1"/>
  <c r="HB571" i="1"/>
  <c r="HB570" i="1"/>
  <c r="HB569" i="1"/>
  <c r="HB568" i="1"/>
  <c r="HB567" i="1"/>
  <c r="HB566" i="1"/>
  <c r="HB565" i="1"/>
  <c r="HB564" i="1"/>
  <c r="HB563" i="1"/>
  <c r="HB562" i="1"/>
  <c r="HB561" i="1"/>
  <c r="HB560" i="1"/>
  <c r="HB559" i="1"/>
  <c r="HB558" i="1"/>
  <c r="HB557" i="1"/>
  <c r="HB556" i="1"/>
  <c r="HB555" i="1"/>
  <c r="HB554" i="1"/>
  <c r="HB553" i="1"/>
  <c r="HB552" i="1"/>
  <c r="HB551" i="1"/>
  <c r="HB550" i="1"/>
  <c r="HB549" i="1"/>
  <c r="HB548" i="1"/>
  <c r="HB547" i="1"/>
  <c r="HB546" i="1"/>
  <c r="HB545" i="1"/>
  <c r="HB544" i="1"/>
  <c r="HB543" i="1"/>
  <c r="HB542" i="1"/>
  <c r="HB541" i="1"/>
  <c r="HB540" i="1"/>
  <c r="HB539" i="1"/>
  <c r="HB538" i="1"/>
  <c r="HB537" i="1"/>
  <c r="HB536" i="1"/>
  <c r="HB535" i="1"/>
  <c r="HB534" i="1"/>
  <c r="HB533" i="1"/>
  <c r="HB532" i="1"/>
  <c r="HB531" i="1"/>
  <c r="HB530" i="1"/>
  <c r="HB529" i="1"/>
  <c r="HB528" i="1"/>
  <c r="HB527" i="1"/>
  <c r="HB526" i="1"/>
  <c r="HB525" i="1"/>
  <c r="HB524" i="1"/>
  <c r="HB523" i="1"/>
  <c r="HB522" i="1"/>
  <c r="HB521" i="1"/>
  <c r="HB520" i="1"/>
  <c r="HB519" i="1"/>
  <c r="HB518" i="1"/>
  <c r="HB517" i="1"/>
  <c r="HB516" i="1"/>
  <c r="HB515" i="1"/>
  <c r="HB514" i="1"/>
  <c r="HB513" i="1"/>
  <c r="HB512" i="1"/>
  <c r="HB511" i="1"/>
  <c r="HB510" i="1"/>
  <c r="HB509" i="1"/>
  <c r="HB508" i="1"/>
  <c r="HB507" i="1"/>
  <c r="HB506" i="1"/>
  <c r="HB505" i="1"/>
  <c r="HB504" i="1"/>
  <c r="HB503" i="1"/>
  <c r="HB502" i="1"/>
  <c r="HB501" i="1"/>
  <c r="HB500" i="1"/>
  <c r="HB499" i="1"/>
  <c r="HB498" i="1"/>
  <c r="HB497" i="1"/>
  <c r="HB496" i="1"/>
  <c r="HB495" i="1"/>
  <c r="HB494" i="1"/>
  <c r="HB493" i="1"/>
  <c r="HB492" i="1"/>
  <c r="HB491" i="1"/>
  <c r="HB490" i="1"/>
  <c r="HB489" i="1"/>
  <c r="HB488" i="1"/>
  <c r="HB487" i="1"/>
  <c r="HB486" i="1"/>
  <c r="HB485" i="1"/>
  <c r="HB484" i="1"/>
  <c r="HB483" i="1"/>
  <c r="HB482" i="1"/>
  <c r="HB481" i="1"/>
  <c r="HB480" i="1"/>
  <c r="HB479" i="1"/>
  <c r="HB478" i="1"/>
  <c r="HB477" i="1"/>
  <c r="HB476" i="1"/>
  <c r="HB475" i="1"/>
  <c r="HB474" i="1"/>
  <c r="HB473" i="1"/>
  <c r="HB472" i="1"/>
  <c r="HB471" i="1"/>
  <c r="HB470" i="1"/>
  <c r="HB469" i="1"/>
  <c r="HB468" i="1"/>
  <c r="HB467" i="1"/>
  <c r="HB466" i="1"/>
  <c r="HB465" i="1"/>
  <c r="HB464" i="1"/>
  <c r="HB463" i="1"/>
  <c r="HB462" i="1"/>
  <c r="HB461" i="1"/>
  <c r="HB460" i="1"/>
  <c r="HB459" i="1"/>
  <c r="HB458" i="1"/>
  <c r="HB457" i="1"/>
  <c r="HB456" i="1"/>
  <c r="HB455" i="1"/>
  <c r="HB454" i="1"/>
  <c r="HB453" i="1"/>
  <c r="HB452" i="1"/>
  <c r="HB451" i="1"/>
  <c r="HB450" i="1"/>
  <c r="HB449" i="1"/>
  <c r="HB448" i="1"/>
  <c r="HB447" i="1"/>
  <c r="HB446" i="1"/>
  <c r="HB445" i="1"/>
  <c r="HB444" i="1"/>
  <c r="HB443" i="1"/>
  <c r="HB442" i="1"/>
  <c r="HB441" i="1"/>
  <c r="HB440" i="1"/>
  <c r="HB439" i="1"/>
  <c r="HB438" i="1"/>
  <c r="HB437" i="1"/>
  <c r="HB436" i="1"/>
  <c r="HB435" i="1"/>
  <c r="HB434" i="1"/>
  <c r="HB433" i="1"/>
  <c r="HB432" i="1"/>
  <c r="HB431" i="1"/>
  <c r="HB430" i="1"/>
  <c r="HB429" i="1"/>
  <c r="HB428" i="1"/>
  <c r="HB427" i="1"/>
  <c r="HB426" i="1"/>
  <c r="HB425" i="1"/>
  <c r="HB424" i="1"/>
  <c r="HB423" i="1"/>
  <c r="HB422" i="1"/>
  <c r="HB421" i="1"/>
  <c r="HB420" i="1"/>
  <c r="HB419" i="1"/>
  <c r="HB418" i="1"/>
  <c r="HB417" i="1"/>
  <c r="HB416" i="1"/>
  <c r="HB415" i="1"/>
  <c r="HB414" i="1"/>
  <c r="HB413" i="1"/>
  <c r="HB412" i="1"/>
  <c r="HB411" i="1"/>
  <c r="HB410" i="1"/>
  <c r="HB409" i="1"/>
  <c r="HB408" i="1"/>
  <c r="HB407" i="1"/>
  <c r="HB406" i="1"/>
  <c r="HB405" i="1"/>
  <c r="HB404" i="1"/>
  <c r="HB403" i="1"/>
  <c r="HB402" i="1"/>
  <c r="HB401" i="1"/>
  <c r="HB400" i="1"/>
  <c r="HB399" i="1"/>
  <c r="HB398" i="1"/>
  <c r="HB397" i="1"/>
  <c r="HB396" i="1"/>
  <c r="HB395" i="1"/>
  <c r="HB394" i="1"/>
  <c r="HB393" i="1"/>
  <c r="HB392" i="1"/>
  <c r="HB391" i="1"/>
  <c r="HB390" i="1"/>
  <c r="HB389" i="1"/>
  <c r="HB388" i="1"/>
  <c r="HB387" i="1"/>
  <c r="HB386" i="1"/>
  <c r="HB385" i="1"/>
  <c r="HB384" i="1"/>
  <c r="HB383" i="1"/>
  <c r="HB382" i="1"/>
  <c r="HB381" i="1"/>
  <c r="HB380" i="1"/>
  <c r="HB379" i="1"/>
  <c r="HB378" i="1"/>
  <c r="HB377" i="1"/>
  <c r="HB376" i="1"/>
  <c r="HB375" i="1"/>
  <c r="HB374" i="1"/>
  <c r="HB373" i="1"/>
  <c r="HB372" i="1"/>
  <c r="HB371" i="1"/>
  <c r="HB370" i="1"/>
  <c r="HB369" i="1"/>
  <c r="HB368" i="1"/>
  <c r="HB367" i="1"/>
  <c r="HB366" i="1"/>
  <c r="HB365" i="1"/>
  <c r="HB364" i="1"/>
  <c r="HB363" i="1"/>
  <c r="HB362" i="1"/>
  <c r="HB361" i="1"/>
  <c r="HB360" i="1"/>
  <c r="HB359" i="1"/>
  <c r="HB358" i="1"/>
  <c r="HB357" i="1"/>
  <c r="HB356" i="1"/>
  <c r="HB355" i="1"/>
  <c r="HB354" i="1"/>
  <c r="HB353" i="1"/>
  <c r="HB352" i="1"/>
  <c r="HB351" i="1"/>
  <c r="HB350" i="1"/>
  <c r="HB349" i="1"/>
  <c r="HB348" i="1"/>
  <c r="HB347" i="1"/>
  <c r="HB346" i="1"/>
  <c r="HB345" i="1"/>
  <c r="HB344" i="1"/>
  <c r="HB343" i="1"/>
  <c r="HB342" i="1"/>
  <c r="HB341" i="1"/>
  <c r="HB340" i="1"/>
  <c r="HB339" i="1"/>
  <c r="HB338" i="1"/>
  <c r="HB337" i="1"/>
  <c r="HB336" i="1"/>
  <c r="HB335" i="1"/>
  <c r="HB334" i="1"/>
  <c r="HB333" i="1"/>
  <c r="HB332" i="1"/>
  <c r="HB331" i="1"/>
  <c r="HB330" i="1"/>
  <c r="HB329" i="1"/>
  <c r="HB328" i="1"/>
  <c r="HB327" i="1"/>
  <c r="HB326" i="1"/>
  <c r="HB325" i="1"/>
  <c r="HB324" i="1"/>
  <c r="HB323" i="1"/>
  <c r="HB322" i="1"/>
  <c r="HB321" i="1"/>
  <c r="HB320" i="1"/>
  <c r="HB319" i="1"/>
  <c r="HB318" i="1"/>
  <c r="HB317" i="1"/>
  <c r="HB316" i="1"/>
  <c r="HB315" i="1"/>
  <c r="HB314" i="1"/>
  <c r="HB313" i="1"/>
  <c r="HB312" i="1"/>
  <c r="HB311" i="1"/>
  <c r="HB310" i="1"/>
  <c r="HB309" i="1"/>
  <c r="HB308" i="1"/>
  <c r="HB307" i="1"/>
  <c r="HB306" i="1"/>
  <c r="HB305" i="1"/>
  <c r="HB304" i="1"/>
  <c r="HB303" i="1"/>
  <c r="HB302" i="1"/>
  <c r="HB301" i="1"/>
  <c r="HB300" i="1"/>
  <c r="HB299" i="1"/>
  <c r="HB298" i="1"/>
  <c r="HB297" i="1"/>
  <c r="HB296" i="1"/>
  <c r="HB295" i="1"/>
  <c r="HB294" i="1"/>
  <c r="HB293" i="1"/>
  <c r="HB292" i="1"/>
  <c r="HB291" i="1"/>
  <c r="HB290" i="1"/>
  <c r="HB289" i="1"/>
  <c r="HB288" i="1"/>
  <c r="HB287" i="1"/>
  <c r="HB286" i="1"/>
  <c r="HB285" i="1"/>
  <c r="HB284" i="1"/>
  <c r="HB283" i="1"/>
  <c r="HB282" i="1"/>
  <c r="HB281" i="1"/>
  <c r="HB280" i="1"/>
  <c r="HB279" i="1"/>
  <c r="HB278" i="1"/>
  <c r="HB277" i="1"/>
  <c r="HB276" i="1"/>
  <c r="HB275" i="1"/>
  <c r="HB274" i="1"/>
  <c r="HB273" i="1"/>
  <c r="HB272" i="1"/>
  <c r="HB271" i="1"/>
  <c r="HB270" i="1"/>
  <c r="HB269" i="1"/>
  <c r="HB268" i="1"/>
  <c r="HB267" i="1"/>
  <c r="HB266" i="1"/>
  <c r="HB265" i="1"/>
  <c r="HB264" i="1"/>
  <c r="HB263" i="1"/>
  <c r="HB262" i="1"/>
  <c r="HB261" i="1"/>
  <c r="HB260" i="1"/>
  <c r="HB259" i="1"/>
  <c r="HB258" i="1"/>
  <c r="HB257" i="1"/>
  <c r="HB256" i="1"/>
  <c r="HB255" i="1"/>
  <c r="HB254" i="1"/>
  <c r="HB253" i="1"/>
  <c r="HB252" i="1"/>
  <c r="HB251" i="1"/>
  <c r="HB250" i="1"/>
  <c r="HB249" i="1"/>
  <c r="HB248" i="1"/>
  <c r="HB247" i="1"/>
  <c r="HB246" i="1"/>
  <c r="HB245" i="1"/>
  <c r="HB244" i="1"/>
  <c r="HB243" i="1"/>
  <c r="HB242" i="1"/>
  <c r="HB241" i="1"/>
  <c r="HB240" i="1"/>
  <c r="HB239" i="1"/>
  <c r="HB238" i="1"/>
  <c r="HB237" i="1"/>
  <c r="HB236" i="1"/>
  <c r="HB235" i="1"/>
  <c r="HB234" i="1"/>
  <c r="HB233" i="1"/>
  <c r="HB232" i="1"/>
  <c r="HB231" i="1"/>
  <c r="HB230" i="1"/>
  <c r="HB229" i="1"/>
  <c r="HB228" i="1"/>
  <c r="HB227" i="1"/>
  <c r="HB226" i="1"/>
  <c r="HB225" i="1"/>
  <c r="HB224" i="1"/>
  <c r="HB223" i="1"/>
  <c r="HB222" i="1"/>
  <c r="HB221" i="1"/>
  <c r="HB220" i="1"/>
  <c r="HB219" i="1"/>
  <c r="HB218" i="1"/>
  <c r="HB217" i="1"/>
  <c r="HB216" i="1"/>
  <c r="HB215" i="1"/>
  <c r="HB214" i="1"/>
  <c r="HB213" i="1"/>
  <c r="HB212" i="1"/>
  <c r="HB211" i="1"/>
  <c r="HB210" i="1"/>
  <c r="HB209" i="1"/>
  <c r="HB208" i="1"/>
  <c r="HB207" i="1"/>
  <c r="HB206" i="1"/>
  <c r="HB205" i="1"/>
  <c r="HB204" i="1"/>
  <c r="HB203" i="1"/>
  <c r="HB202" i="1"/>
  <c r="HB201" i="1"/>
  <c r="HB200" i="1"/>
  <c r="HB199" i="1"/>
  <c r="HB198" i="1"/>
  <c r="HB197" i="1"/>
  <c r="HB196" i="1"/>
  <c r="HB195" i="1"/>
  <c r="HB194" i="1"/>
  <c r="HB193" i="1"/>
  <c r="HB192" i="1"/>
  <c r="HB191" i="1"/>
  <c r="HB190" i="1"/>
  <c r="HB189" i="1"/>
  <c r="HB188" i="1"/>
  <c r="HB187" i="1"/>
  <c r="HB186" i="1"/>
  <c r="HB185" i="1"/>
  <c r="HB184" i="1"/>
  <c r="HB183" i="1"/>
  <c r="HB182" i="1"/>
  <c r="HB181" i="1"/>
  <c r="HB180" i="1"/>
  <c r="HB179" i="1"/>
  <c r="HB178" i="1"/>
  <c r="HB177" i="1"/>
  <c r="HB176" i="1"/>
  <c r="HB175" i="1"/>
  <c r="HB174" i="1"/>
  <c r="HB173" i="1"/>
  <c r="HB172" i="1"/>
  <c r="HB171" i="1"/>
  <c r="HB170" i="1"/>
  <c r="HB169" i="1"/>
  <c r="HB168" i="1"/>
  <c r="HB167" i="1"/>
  <c r="HB166" i="1"/>
  <c r="HB165" i="1"/>
  <c r="HB164" i="1"/>
  <c r="HB163" i="1"/>
  <c r="HB162" i="1"/>
  <c r="HB161" i="1"/>
  <c r="HB160" i="1"/>
  <c r="HB159" i="1"/>
  <c r="HB158" i="1"/>
  <c r="HB157" i="1"/>
  <c r="HB156" i="1"/>
  <c r="HB155" i="1"/>
  <c r="HB154" i="1"/>
  <c r="HB153" i="1"/>
  <c r="HB152" i="1"/>
  <c r="HB151" i="1"/>
  <c r="HB150" i="1"/>
  <c r="HB149" i="1"/>
  <c r="HB148" i="1"/>
  <c r="HB147" i="1"/>
  <c r="HB146" i="1"/>
  <c r="HB145" i="1"/>
  <c r="HB144" i="1"/>
  <c r="HB143" i="1"/>
  <c r="HB142" i="1"/>
  <c r="HB141" i="1"/>
  <c r="HB140" i="1"/>
  <c r="HB139" i="1"/>
  <c r="HB138" i="1"/>
  <c r="HB137" i="1"/>
  <c r="HB136" i="1"/>
  <c r="HB135" i="1"/>
  <c r="HB134" i="1"/>
  <c r="HB133" i="1"/>
  <c r="HB132" i="1"/>
  <c r="HB131" i="1"/>
  <c r="HB130" i="1"/>
  <c r="HB129" i="1"/>
  <c r="HB128" i="1"/>
  <c r="HB127" i="1"/>
  <c r="HB126" i="1"/>
  <c r="HB125" i="1"/>
  <c r="HB124" i="1"/>
  <c r="HB123" i="1"/>
  <c r="HB122" i="1"/>
  <c r="HB121" i="1"/>
  <c r="HB120" i="1"/>
  <c r="HB119" i="1"/>
  <c r="HB118" i="1"/>
  <c r="HB117" i="1"/>
  <c r="HB116" i="1"/>
  <c r="HB115" i="1"/>
  <c r="HB114" i="1"/>
  <c r="HB113" i="1"/>
  <c r="HB112" i="1"/>
  <c r="HB111" i="1"/>
  <c r="HB110" i="1"/>
  <c r="HB109" i="1"/>
  <c r="HB108" i="1"/>
  <c r="HB107" i="1"/>
  <c r="HB106" i="1"/>
  <c r="HB105" i="1"/>
  <c r="HB104" i="1"/>
  <c r="HB103" i="1"/>
  <c r="HB102" i="1"/>
  <c r="HB101" i="1"/>
  <c r="HB100" i="1"/>
  <c r="HB99" i="1"/>
  <c r="HB98" i="1"/>
  <c r="HB97" i="1"/>
  <c r="HB96" i="1"/>
  <c r="HB95" i="1"/>
  <c r="HB94" i="1"/>
  <c r="HB93" i="1"/>
  <c r="HB92" i="1"/>
  <c r="HB91" i="1"/>
  <c r="HB90" i="1"/>
  <c r="HB89" i="1"/>
  <c r="HB88" i="1"/>
  <c r="HB87" i="1"/>
  <c r="HB86" i="1"/>
  <c r="HB85" i="1"/>
  <c r="HB84" i="1"/>
  <c r="HB83" i="1"/>
  <c r="HB82" i="1"/>
  <c r="HB81" i="1"/>
  <c r="HB80" i="1"/>
  <c r="HB79" i="1"/>
  <c r="HB78" i="1"/>
  <c r="HB77" i="1"/>
  <c r="HB76" i="1"/>
  <c r="HB75" i="1"/>
  <c r="HB74" i="1"/>
  <c r="HB73" i="1"/>
  <c r="HB72" i="1"/>
  <c r="HB71" i="1"/>
  <c r="HB70" i="1"/>
  <c r="HB69" i="1"/>
  <c r="HB68" i="1"/>
  <c r="HB67" i="1"/>
  <c r="HB66" i="1"/>
  <c r="HB65" i="1"/>
  <c r="HB64" i="1"/>
  <c r="HB63" i="1"/>
  <c r="HB62" i="1"/>
  <c r="HB61" i="1"/>
  <c r="HB60" i="1"/>
  <c r="HB59" i="1"/>
  <c r="HB58" i="1"/>
  <c r="HB57" i="1"/>
  <c r="HB56" i="1"/>
  <c r="HB55" i="1"/>
  <c r="HB54" i="1"/>
  <c r="HB53" i="1"/>
  <c r="HB52" i="1"/>
  <c r="HB51" i="1"/>
  <c r="HB50" i="1"/>
  <c r="HB49" i="1"/>
  <c r="HB48" i="1"/>
  <c r="HB47" i="1"/>
  <c r="HB46" i="1"/>
  <c r="HB45" i="1"/>
  <c r="HB44" i="1"/>
  <c r="HB43" i="1"/>
  <c r="HB42" i="1"/>
  <c r="HB41" i="1"/>
  <c r="HB40" i="1"/>
  <c r="HB39" i="1"/>
  <c r="HB38" i="1"/>
  <c r="HB37" i="1"/>
  <c r="HB36" i="1"/>
  <c r="HB35" i="1"/>
  <c r="HB34" i="1"/>
  <c r="HB33" i="1"/>
  <c r="HB32" i="1"/>
  <c r="HB31" i="1"/>
  <c r="HB30" i="1"/>
  <c r="HB29" i="1"/>
  <c r="HB28" i="1"/>
  <c r="HB27" i="1"/>
  <c r="HB26" i="1"/>
  <c r="HB25" i="1"/>
  <c r="HB24" i="1"/>
  <c r="HB23" i="1"/>
  <c r="HB22" i="1"/>
  <c r="HB21" i="1"/>
  <c r="HB20" i="1"/>
  <c r="HB19" i="1"/>
  <c r="HB18" i="1"/>
  <c r="HB17" i="1"/>
  <c r="HB16" i="1"/>
  <c r="HB15" i="1"/>
  <c r="HB14" i="1"/>
  <c r="HB13" i="1"/>
  <c r="HB12" i="1"/>
  <c r="HB11" i="1"/>
  <c r="HB10" i="1"/>
  <c r="HB9" i="1"/>
  <c r="HB8" i="1"/>
  <c r="HB7" i="1"/>
  <c r="HB6" i="1"/>
  <c r="HB5" i="1"/>
  <c r="HB4" i="1"/>
  <c r="GQ26" i="1"/>
  <c r="GQ25" i="1"/>
  <c r="GQ24" i="1"/>
  <c r="GQ23" i="1"/>
  <c r="GQ22" i="1"/>
  <c r="GQ21" i="1"/>
  <c r="GQ20" i="1"/>
  <c r="GQ19" i="1"/>
  <c r="GQ18" i="1"/>
  <c r="GQ17" i="1"/>
  <c r="GQ16" i="1"/>
  <c r="GQ15" i="1"/>
  <c r="GQ14" i="1"/>
  <c r="GQ13" i="1"/>
  <c r="GQ12" i="1"/>
  <c r="GQ11" i="1"/>
  <c r="GQ10" i="1"/>
  <c r="GQ9" i="1"/>
  <c r="GQ8" i="1"/>
  <c r="GQ7" i="1"/>
  <c r="GQ6" i="1"/>
  <c r="GQ5" i="1"/>
  <c r="GQ4" i="1"/>
  <c r="GF25" i="1"/>
  <c r="GF24" i="1"/>
  <c r="GF23" i="1"/>
  <c r="GF22" i="1"/>
  <c r="GF21" i="1"/>
  <c r="GF20" i="1"/>
  <c r="GF19" i="1"/>
  <c r="GF18" i="1"/>
  <c r="GF17" i="1"/>
  <c r="GF16" i="1"/>
  <c r="GF15" i="1"/>
  <c r="GF14" i="1"/>
  <c r="GF13" i="1"/>
  <c r="GF12" i="1"/>
  <c r="GF11" i="1"/>
  <c r="GF10" i="1"/>
  <c r="GF9" i="1"/>
  <c r="GF8" i="1"/>
  <c r="GF7" i="1"/>
  <c r="GF6" i="1"/>
  <c r="GF5" i="1"/>
  <c r="GF4" i="1"/>
  <c r="AG71" i="3"/>
  <c r="AG70" i="3"/>
  <c r="AG69" i="3"/>
  <c r="AG68" i="3"/>
  <c r="AG67" i="3"/>
  <c r="AG66" i="3"/>
  <c r="AG65" i="3"/>
  <c r="AG64" i="3"/>
  <c r="AG63" i="3"/>
  <c r="AG62" i="3"/>
  <c r="AG61" i="3"/>
  <c r="AG60" i="3"/>
  <c r="AG59" i="3"/>
  <c r="AG58" i="3"/>
  <c r="AG57" i="3"/>
  <c r="AG56" i="3"/>
  <c r="AG55" i="3"/>
  <c r="AG54" i="3"/>
  <c r="AG53" i="3"/>
  <c r="AG52" i="3"/>
  <c r="AG51" i="3"/>
  <c r="AG50" i="3"/>
  <c r="AG49" i="3"/>
  <c r="AG48" i="3"/>
  <c r="AG47" i="3"/>
  <c r="AG46" i="3"/>
  <c r="AG45" i="3"/>
  <c r="AG44" i="3"/>
  <c r="AG43" i="3"/>
  <c r="AG42" i="3"/>
  <c r="AG41" i="3"/>
  <c r="AG40" i="3"/>
  <c r="AG39" i="3"/>
  <c r="AG38" i="3"/>
  <c r="AG37" i="3"/>
  <c r="AG36" i="3"/>
  <c r="AG35" i="3"/>
  <c r="AG34" i="3"/>
  <c r="AG33" i="3"/>
  <c r="AG32" i="3"/>
  <c r="AG31" i="3"/>
  <c r="AG30" i="3"/>
  <c r="AG29" i="3"/>
  <c r="AG28" i="3"/>
  <c r="AG27" i="3"/>
  <c r="AG26" i="3"/>
  <c r="AG25" i="3"/>
  <c r="AG24" i="3"/>
  <c r="AG23" i="3"/>
  <c r="AG22" i="3"/>
  <c r="AG21" i="3"/>
  <c r="AG20" i="3"/>
  <c r="AG19" i="3"/>
  <c r="AG18" i="3"/>
  <c r="AG17" i="3"/>
  <c r="AG16" i="3"/>
  <c r="AG15" i="3"/>
  <c r="AG14" i="3"/>
  <c r="AG13" i="3"/>
  <c r="AG12" i="3"/>
  <c r="AG11" i="3"/>
  <c r="AG10" i="3"/>
  <c r="AG9" i="3"/>
  <c r="AG8" i="3"/>
  <c r="AG7" i="3"/>
  <c r="AG6" i="3"/>
  <c r="AG5" i="3"/>
  <c r="AG4" i="3"/>
  <c r="Z36" i="3"/>
  <c r="Z35" i="3"/>
  <c r="Z34" i="3"/>
  <c r="Z33" i="3"/>
  <c r="Z32" i="3"/>
  <c r="Z31" i="3"/>
  <c r="Z30" i="3"/>
  <c r="Z29" i="3"/>
  <c r="Z28" i="3"/>
  <c r="Z27" i="3"/>
  <c r="Z26" i="3"/>
  <c r="Z25" i="3"/>
  <c r="Z24" i="3"/>
  <c r="Z23" i="3"/>
  <c r="Z22" i="3"/>
  <c r="Z21" i="3"/>
  <c r="Z20" i="3"/>
  <c r="Z19" i="3"/>
  <c r="Z18" i="3"/>
  <c r="Z17" i="3"/>
  <c r="Z16" i="3"/>
  <c r="Z15" i="3"/>
  <c r="Z14" i="3"/>
  <c r="Z13" i="3"/>
  <c r="Z12" i="3"/>
  <c r="Z11" i="3"/>
  <c r="Z10" i="3"/>
  <c r="Z9" i="3"/>
  <c r="Z8" i="3"/>
  <c r="Z7" i="3"/>
  <c r="Z6" i="3"/>
  <c r="Z5" i="3"/>
  <c r="Z4" i="3"/>
  <c r="Q72" i="3"/>
  <c r="CT72" i="1"/>
  <c r="CT71" i="1"/>
  <c r="CT70" i="1"/>
  <c r="CW72" i="1"/>
  <c r="CW71" i="1"/>
  <c r="CW70" i="1"/>
  <c r="CT69" i="1"/>
  <c r="CW69" i="1"/>
  <c r="CR44" i="1"/>
  <c r="A25" i="1"/>
  <c r="H25" i="1" s="1"/>
  <c r="A40" i="1"/>
  <c r="H40" i="1" s="1"/>
  <c r="A34" i="1"/>
  <c r="H34" i="1" s="1"/>
  <c r="BN173" i="3" l="1"/>
  <c r="BN174" i="3"/>
  <c r="BN175" i="3"/>
  <c r="BN176" i="3"/>
  <c r="BN177" i="3"/>
  <c r="BN178" i="3"/>
  <c r="BN179" i="3"/>
  <c r="BN180" i="3"/>
  <c r="BN181" i="3"/>
  <c r="BN182" i="3"/>
  <c r="BN183" i="3"/>
  <c r="BN184" i="3"/>
  <c r="BN185" i="3"/>
  <c r="BN186" i="3"/>
  <c r="BN187" i="3"/>
  <c r="BN188" i="3"/>
  <c r="BN189" i="3"/>
  <c r="BN190" i="3"/>
  <c r="BN191" i="3"/>
  <c r="BN192" i="3"/>
  <c r="BN193" i="3"/>
  <c r="BN194" i="3"/>
  <c r="BN195" i="3"/>
  <c r="BN196" i="3"/>
  <c r="BN197" i="3"/>
  <c r="BN198" i="3"/>
  <c r="BN199" i="3"/>
  <c r="BN200" i="3"/>
  <c r="BN201" i="3"/>
  <c r="BN202" i="3"/>
  <c r="BN203" i="3"/>
  <c r="BN204" i="3"/>
  <c r="BN205" i="3"/>
  <c r="BN206" i="3"/>
  <c r="BN207" i="3"/>
  <c r="BN208" i="3"/>
  <c r="BN209" i="3"/>
  <c r="BN210" i="3"/>
  <c r="BN211" i="3"/>
  <c r="BN212" i="3"/>
  <c r="BN213" i="3"/>
  <c r="BN214" i="3"/>
  <c r="BN215" i="3"/>
  <c r="BN216" i="3"/>
  <c r="BN217" i="3"/>
  <c r="BN218" i="3"/>
  <c r="BN219" i="3"/>
  <c r="BN220" i="3"/>
  <c r="BN221" i="3"/>
  <c r="BN222" i="3"/>
  <c r="BN223" i="3"/>
  <c r="BN224" i="3"/>
  <c r="BN225" i="3"/>
  <c r="BN226" i="3"/>
  <c r="BN227" i="3"/>
  <c r="BN228" i="3"/>
  <c r="BN229" i="3"/>
  <c r="BN230" i="3"/>
  <c r="BN231" i="3"/>
  <c r="BN232" i="3"/>
  <c r="BN233" i="3"/>
  <c r="BN234" i="3"/>
  <c r="BN235" i="3"/>
  <c r="BN236" i="3"/>
  <c r="BN237" i="3"/>
  <c r="BN238" i="3"/>
  <c r="BN239" i="3"/>
  <c r="BN240" i="3"/>
  <c r="BN241" i="3"/>
  <c r="BN242" i="3"/>
  <c r="BN243" i="3"/>
  <c r="BN244" i="3"/>
  <c r="BN245" i="3"/>
  <c r="BN246" i="3"/>
  <c r="BN247" i="3"/>
  <c r="BN248" i="3"/>
  <c r="BN249" i="3"/>
  <c r="BN250" i="3"/>
  <c r="BN251" i="3"/>
  <c r="BN252" i="3"/>
  <c r="BN253" i="3"/>
  <c r="BN254" i="3"/>
  <c r="BN255" i="3"/>
  <c r="BN256" i="3"/>
  <c r="BN257" i="3"/>
  <c r="BN258" i="3"/>
  <c r="BN259" i="3"/>
  <c r="BN260" i="3"/>
  <c r="BN261" i="3"/>
  <c r="BN262" i="3"/>
  <c r="BN263" i="3"/>
  <c r="BN264" i="3"/>
  <c r="BN265" i="3"/>
  <c r="BN266" i="3"/>
  <c r="BN267" i="3"/>
  <c r="BN268" i="3"/>
  <c r="BN269" i="3"/>
  <c r="BN270" i="3"/>
  <c r="BN271" i="3"/>
  <c r="BN272" i="3"/>
  <c r="BN273" i="3"/>
  <c r="BN274" i="3"/>
  <c r="BN275" i="3"/>
  <c r="BN276" i="3"/>
  <c r="BN277" i="3"/>
  <c r="BN278" i="3"/>
  <c r="BN279" i="3"/>
  <c r="BN280" i="3"/>
  <c r="BN281" i="3"/>
  <c r="BN282" i="3"/>
  <c r="BN283" i="3"/>
  <c r="BN284" i="3"/>
  <c r="BN285" i="3"/>
  <c r="BN286" i="3"/>
  <c r="BN287" i="3"/>
  <c r="BN288" i="3"/>
  <c r="BN289" i="3"/>
  <c r="BN290" i="3"/>
  <c r="BN291" i="3"/>
  <c r="BN292" i="3"/>
  <c r="BN293" i="3"/>
  <c r="BN294" i="3"/>
  <c r="BN295" i="3"/>
  <c r="BN296" i="3"/>
  <c r="BN297" i="3"/>
  <c r="BN298" i="3"/>
  <c r="BN299" i="3"/>
  <c r="BN300" i="3"/>
  <c r="BN301" i="3"/>
  <c r="BN302" i="3"/>
  <c r="BN303" i="3"/>
  <c r="BN304" i="3"/>
  <c r="BN305" i="3"/>
  <c r="BN306" i="3"/>
  <c r="BN307" i="3"/>
  <c r="BN308" i="3"/>
  <c r="BN309" i="3"/>
  <c r="BN310" i="3"/>
  <c r="BN311" i="3"/>
  <c r="BN312" i="3"/>
  <c r="BN313" i="3"/>
  <c r="BN314" i="3"/>
  <c r="BN315" i="3"/>
  <c r="BN316" i="3"/>
  <c r="BN317" i="3"/>
  <c r="BN318" i="3"/>
  <c r="BN319" i="3"/>
  <c r="BN320" i="3"/>
  <c r="BN321" i="3"/>
  <c r="BN322" i="3"/>
  <c r="BN323" i="3"/>
  <c r="BN324" i="3"/>
  <c r="BN325" i="3"/>
  <c r="BN326" i="3"/>
  <c r="BN327" i="3"/>
  <c r="BN328" i="3"/>
  <c r="BN329" i="3"/>
  <c r="BN330" i="3"/>
  <c r="BN331" i="3"/>
  <c r="BN332" i="3"/>
  <c r="BN333" i="3"/>
  <c r="BN334" i="3"/>
  <c r="BN335" i="3"/>
  <c r="BN336" i="3"/>
  <c r="BN337" i="3"/>
  <c r="BN338" i="3"/>
  <c r="BN339" i="3"/>
  <c r="BN340" i="3"/>
  <c r="BN341" i="3"/>
  <c r="BN342" i="3"/>
  <c r="BN343" i="3"/>
  <c r="BN344" i="3"/>
  <c r="BN345" i="3"/>
  <c r="BN346" i="3"/>
  <c r="BN347" i="3"/>
  <c r="BN348" i="3"/>
  <c r="BN349" i="3"/>
  <c r="BN350" i="3"/>
  <c r="BN351" i="3"/>
  <c r="BN352" i="3"/>
  <c r="BN353" i="3"/>
  <c r="BN354" i="3"/>
  <c r="BN355" i="3"/>
  <c r="BN356" i="3"/>
  <c r="BN357" i="3"/>
  <c r="BN358" i="3"/>
  <c r="BN359" i="3"/>
  <c r="BN360" i="3"/>
  <c r="BN361" i="3"/>
  <c r="BN362" i="3"/>
  <c r="BN363" i="3"/>
  <c r="BN364" i="3"/>
  <c r="BN365" i="3"/>
  <c r="BN366" i="3"/>
  <c r="BN367" i="3"/>
  <c r="BN368" i="3"/>
  <c r="BN369" i="3"/>
  <c r="BN370" i="3"/>
  <c r="BN371" i="3"/>
  <c r="BN372" i="3"/>
  <c r="BN373" i="3"/>
  <c r="BN374" i="3"/>
  <c r="BN375" i="3"/>
  <c r="BN376" i="3"/>
  <c r="BN377" i="3"/>
  <c r="BN378" i="3"/>
  <c r="BN379" i="3"/>
  <c r="BN380" i="3"/>
  <c r="BN381" i="3"/>
  <c r="BN382" i="3"/>
  <c r="BN383" i="3"/>
  <c r="BN384" i="3"/>
  <c r="BN385" i="3"/>
  <c r="BN386" i="3"/>
  <c r="BR173" i="3"/>
  <c r="BR174" i="3"/>
  <c r="BR175" i="3"/>
  <c r="BR176" i="3"/>
  <c r="BR177" i="3"/>
  <c r="BR178" i="3"/>
  <c r="BR179" i="3"/>
  <c r="BR180" i="3"/>
  <c r="BR181" i="3"/>
  <c r="BR182" i="3"/>
  <c r="BR183" i="3"/>
  <c r="BR184" i="3"/>
  <c r="BR185" i="3"/>
  <c r="BR186" i="3"/>
  <c r="BR187" i="3"/>
  <c r="BR188" i="3"/>
  <c r="BR189" i="3"/>
  <c r="BR190" i="3"/>
  <c r="BR191" i="3"/>
  <c r="BR192" i="3"/>
  <c r="BR193" i="3"/>
  <c r="BR194" i="3"/>
  <c r="BR195" i="3"/>
  <c r="BR196" i="3"/>
  <c r="BR197" i="3"/>
  <c r="BR198" i="3"/>
  <c r="BR199" i="3"/>
  <c r="BR200" i="3"/>
  <c r="BR201" i="3"/>
  <c r="BR202" i="3"/>
  <c r="BR203" i="3"/>
  <c r="BR204" i="3"/>
  <c r="BR205" i="3"/>
  <c r="BR206" i="3"/>
  <c r="BR207" i="3"/>
  <c r="BR208" i="3"/>
  <c r="BR209" i="3"/>
  <c r="BR210" i="3"/>
  <c r="BR211" i="3"/>
  <c r="BR212" i="3"/>
  <c r="BR213" i="3"/>
  <c r="BR214" i="3"/>
  <c r="BR215" i="3"/>
  <c r="BR216" i="3"/>
  <c r="BR217" i="3"/>
  <c r="BR218" i="3"/>
  <c r="BR219" i="3"/>
  <c r="BR220" i="3"/>
  <c r="BR221" i="3"/>
  <c r="BR222" i="3"/>
  <c r="BR223" i="3"/>
  <c r="BR224" i="3"/>
  <c r="BR225" i="3"/>
  <c r="BR226" i="3"/>
  <c r="BR227" i="3"/>
  <c r="BR228" i="3"/>
  <c r="BR229" i="3"/>
  <c r="BR230" i="3"/>
  <c r="BR231" i="3"/>
  <c r="BR232" i="3"/>
  <c r="BR233" i="3"/>
  <c r="BR234" i="3"/>
  <c r="BR235" i="3"/>
  <c r="BR236" i="3"/>
  <c r="BR237" i="3"/>
  <c r="BR238" i="3"/>
  <c r="BR239" i="3"/>
  <c r="BR240" i="3"/>
  <c r="BR241" i="3"/>
  <c r="BR242" i="3"/>
  <c r="BR243" i="3"/>
  <c r="BR244" i="3"/>
  <c r="BR245" i="3"/>
  <c r="BR246" i="3"/>
  <c r="BR247" i="3"/>
  <c r="BR248" i="3"/>
  <c r="BR249" i="3"/>
  <c r="BR250" i="3"/>
  <c r="BR251" i="3"/>
  <c r="BR252" i="3"/>
  <c r="BR253" i="3"/>
  <c r="BR254" i="3"/>
  <c r="BR255" i="3"/>
  <c r="BR256" i="3"/>
  <c r="BR257" i="3"/>
  <c r="BR258" i="3"/>
  <c r="BR259" i="3"/>
  <c r="BR260" i="3"/>
  <c r="BR261" i="3"/>
  <c r="BR262" i="3"/>
  <c r="BR263" i="3"/>
  <c r="BR264" i="3"/>
  <c r="BR265" i="3"/>
  <c r="BR266" i="3"/>
  <c r="BR267" i="3"/>
  <c r="BR268" i="3"/>
  <c r="BR269" i="3"/>
  <c r="BR270" i="3"/>
  <c r="BR271" i="3"/>
  <c r="BR272" i="3"/>
  <c r="BR273" i="3"/>
  <c r="BR274" i="3"/>
  <c r="BR275" i="3"/>
  <c r="BR276" i="3"/>
  <c r="BR277" i="3"/>
  <c r="BR278" i="3"/>
  <c r="BR279" i="3"/>
  <c r="BR280" i="3"/>
  <c r="BR281" i="3"/>
  <c r="BR282" i="3"/>
  <c r="BR283" i="3"/>
  <c r="BR284" i="3"/>
  <c r="BR285" i="3"/>
  <c r="BR286" i="3"/>
  <c r="BR287" i="3"/>
  <c r="BR288" i="3"/>
  <c r="BR289" i="3"/>
  <c r="BR290" i="3"/>
  <c r="BR291" i="3"/>
  <c r="BR292" i="3"/>
  <c r="BR293" i="3"/>
  <c r="BR294" i="3"/>
  <c r="BR295" i="3"/>
  <c r="BR296" i="3"/>
  <c r="BR297" i="3"/>
  <c r="BR298" i="3"/>
  <c r="BR299" i="3"/>
  <c r="BR300" i="3"/>
  <c r="BR301" i="3"/>
  <c r="BR302" i="3"/>
  <c r="BR303" i="3"/>
  <c r="BR304" i="3"/>
  <c r="BR305" i="3"/>
  <c r="BR306" i="3"/>
  <c r="BR307" i="3"/>
  <c r="BR308" i="3"/>
  <c r="BR309" i="3"/>
  <c r="BR310" i="3"/>
  <c r="BR311" i="3"/>
  <c r="BR312" i="3"/>
  <c r="BR313" i="3"/>
  <c r="BR314" i="3"/>
  <c r="BR315" i="3"/>
  <c r="BR316" i="3"/>
  <c r="BR317" i="3"/>
  <c r="BR318" i="3"/>
  <c r="BR319" i="3"/>
  <c r="BR320" i="3"/>
  <c r="BR321" i="3"/>
  <c r="BR322" i="3"/>
  <c r="BR323" i="3"/>
  <c r="BR324" i="3"/>
  <c r="BR325" i="3"/>
  <c r="BR326" i="3"/>
  <c r="BR327" i="3"/>
  <c r="BR328" i="3"/>
  <c r="BR329" i="3"/>
  <c r="BR330" i="3"/>
  <c r="BR331" i="3"/>
  <c r="BR332" i="3"/>
  <c r="BR333" i="3"/>
  <c r="BR334" i="3"/>
  <c r="BR335" i="3"/>
  <c r="BR336" i="3"/>
  <c r="BR337" i="3"/>
  <c r="BR338" i="3"/>
  <c r="BR339" i="3"/>
  <c r="BR340" i="3"/>
  <c r="BR341" i="3"/>
  <c r="BR342" i="3"/>
  <c r="BR343" i="3"/>
  <c r="BR344" i="3"/>
  <c r="BR345" i="3"/>
  <c r="BR346" i="3"/>
  <c r="BR347" i="3"/>
  <c r="BR348" i="3"/>
  <c r="BR349" i="3"/>
  <c r="BR350" i="3"/>
  <c r="BR351" i="3"/>
  <c r="BR352" i="3"/>
  <c r="BR353" i="3"/>
  <c r="BR354" i="3"/>
  <c r="BR355" i="3"/>
  <c r="BR356" i="3"/>
  <c r="BR357" i="3"/>
  <c r="BR358" i="3"/>
  <c r="BR359" i="3"/>
  <c r="BR360" i="3"/>
  <c r="BR361" i="3"/>
  <c r="BR362" i="3"/>
  <c r="BR363" i="3"/>
  <c r="BR364" i="3"/>
  <c r="BR365" i="3"/>
  <c r="BR366" i="3"/>
  <c r="BR367" i="3"/>
  <c r="BR368" i="3"/>
  <c r="BR369" i="3"/>
  <c r="BR370" i="3"/>
  <c r="BR371" i="3"/>
  <c r="BR372" i="3"/>
  <c r="BR373" i="3"/>
  <c r="BR374" i="3"/>
  <c r="BR375" i="3"/>
  <c r="BR376" i="3"/>
  <c r="BR377" i="3"/>
  <c r="BR378" i="3"/>
  <c r="BR379" i="3"/>
  <c r="BR380" i="3"/>
  <c r="BR381" i="3"/>
  <c r="BR382" i="3"/>
  <c r="BR383" i="3"/>
  <c r="BR384" i="3"/>
  <c r="BR385" i="3"/>
  <c r="BR386" i="3"/>
  <c r="BQ386" i="3"/>
  <c r="BQ385" i="3"/>
  <c r="BQ384" i="3"/>
  <c r="BQ383" i="3"/>
  <c r="BQ382" i="3"/>
  <c r="BQ381" i="3"/>
  <c r="BQ380" i="3"/>
  <c r="BQ379" i="3"/>
  <c r="BQ378" i="3"/>
  <c r="BQ377" i="3"/>
  <c r="BQ376" i="3"/>
  <c r="BQ375" i="3"/>
  <c r="BQ374" i="3"/>
  <c r="BQ373" i="3"/>
  <c r="BQ372" i="3"/>
  <c r="BQ371" i="3"/>
  <c r="BQ370" i="3"/>
  <c r="BQ369" i="3"/>
  <c r="BQ368" i="3"/>
  <c r="BQ367" i="3"/>
  <c r="BQ366" i="3"/>
  <c r="BQ365" i="3"/>
  <c r="BQ364" i="3"/>
  <c r="BQ363" i="3"/>
  <c r="BQ362" i="3"/>
  <c r="BQ361" i="3"/>
  <c r="BQ360" i="3"/>
  <c r="BQ359" i="3"/>
  <c r="BQ358" i="3"/>
  <c r="BQ357" i="3"/>
  <c r="BQ356" i="3"/>
  <c r="BQ355" i="3"/>
  <c r="BQ354" i="3"/>
  <c r="BQ353" i="3"/>
  <c r="BQ352" i="3"/>
  <c r="BQ351" i="3"/>
  <c r="BQ350" i="3"/>
  <c r="BQ349" i="3"/>
  <c r="BQ348" i="3"/>
  <c r="BQ347" i="3"/>
  <c r="BQ346" i="3"/>
  <c r="BQ345" i="3"/>
  <c r="BQ344" i="3"/>
  <c r="BQ343" i="3"/>
  <c r="BQ342" i="3"/>
  <c r="BQ341" i="3"/>
  <c r="BQ340" i="3"/>
  <c r="BQ339" i="3"/>
  <c r="BQ338" i="3"/>
  <c r="BQ337" i="3"/>
  <c r="BQ336" i="3"/>
  <c r="BQ335" i="3"/>
  <c r="BQ334" i="3"/>
  <c r="BQ333" i="3"/>
  <c r="BQ332" i="3"/>
  <c r="BQ331" i="3"/>
  <c r="BQ330" i="3"/>
  <c r="BQ329" i="3"/>
  <c r="BQ328" i="3"/>
  <c r="BQ327" i="3"/>
  <c r="BQ326" i="3"/>
  <c r="BQ325" i="3"/>
  <c r="BQ324" i="3"/>
  <c r="BQ323" i="3"/>
  <c r="BQ322" i="3"/>
  <c r="BQ321" i="3"/>
  <c r="BQ320" i="3"/>
  <c r="BQ319" i="3"/>
  <c r="BQ318" i="3"/>
  <c r="BQ317" i="3"/>
  <c r="BQ316" i="3"/>
  <c r="BQ315" i="3"/>
  <c r="BQ314" i="3"/>
  <c r="BQ313" i="3"/>
  <c r="BQ312" i="3"/>
  <c r="BQ311" i="3"/>
  <c r="BQ310" i="3"/>
  <c r="BQ309" i="3"/>
  <c r="BQ308" i="3"/>
  <c r="BQ307" i="3"/>
  <c r="BQ306" i="3"/>
  <c r="BQ305" i="3"/>
  <c r="BQ304" i="3"/>
  <c r="BQ303" i="3"/>
  <c r="BQ302" i="3"/>
  <c r="BQ301" i="3"/>
  <c r="BQ300" i="3"/>
  <c r="BQ299" i="3"/>
  <c r="BQ298" i="3"/>
  <c r="BQ297" i="3"/>
  <c r="BQ296" i="3"/>
  <c r="BQ295" i="3"/>
  <c r="BQ294" i="3"/>
  <c r="BQ293" i="3"/>
  <c r="BQ292" i="3"/>
  <c r="BQ291" i="3"/>
  <c r="BQ290" i="3"/>
  <c r="BQ289" i="3"/>
  <c r="BQ288" i="3"/>
  <c r="BQ287" i="3"/>
  <c r="BQ286" i="3"/>
  <c r="BQ285" i="3"/>
  <c r="BQ284" i="3"/>
  <c r="BQ283" i="3"/>
  <c r="BQ282" i="3"/>
  <c r="BQ281" i="3"/>
  <c r="BQ280" i="3"/>
  <c r="BQ279" i="3"/>
  <c r="BQ278" i="3"/>
  <c r="BQ277" i="3"/>
  <c r="BQ276" i="3"/>
  <c r="BQ275" i="3"/>
  <c r="BQ274" i="3"/>
  <c r="BQ273" i="3"/>
  <c r="BQ272" i="3"/>
  <c r="BQ271" i="3"/>
  <c r="BQ270" i="3"/>
  <c r="BQ269" i="3"/>
  <c r="BQ268" i="3"/>
  <c r="BQ267" i="3"/>
  <c r="BQ266" i="3"/>
  <c r="BQ265" i="3"/>
  <c r="BQ264" i="3"/>
  <c r="BQ263" i="3"/>
  <c r="BQ262" i="3"/>
  <c r="BQ261" i="3"/>
  <c r="BQ260" i="3"/>
  <c r="BQ259" i="3"/>
  <c r="BQ258" i="3"/>
  <c r="BQ257" i="3"/>
  <c r="BQ256" i="3"/>
  <c r="BQ255" i="3"/>
  <c r="BQ254" i="3"/>
  <c r="BQ253" i="3"/>
  <c r="BQ252" i="3"/>
  <c r="BQ251" i="3"/>
  <c r="BQ250" i="3"/>
  <c r="BQ249" i="3"/>
  <c r="BQ248" i="3"/>
  <c r="BQ247" i="3"/>
  <c r="BQ246" i="3"/>
  <c r="BQ245" i="3"/>
  <c r="BQ244" i="3"/>
  <c r="BQ243" i="3"/>
  <c r="BQ242" i="3"/>
  <c r="BQ241" i="3"/>
  <c r="BQ240" i="3"/>
  <c r="BQ239" i="3"/>
  <c r="BQ238" i="3"/>
  <c r="BQ237" i="3"/>
  <c r="BQ236" i="3"/>
  <c r="BQ235" i="3"/>
  <c r="BQ234" i="3"/>
  <c r="BQ233" i="3"/>
  <c r="BQ232" i="3"/>
  <c r="BQ231" i="3"/>
  <c r="BQ230" i="3"/>
  <c r="BQ229" i="3"/>
  <c r="BQ228" i="3"/>
  <c r="BQ227" i="3"/>
  <c r="BQ226" i="3"/>
  <c r="BQ225" i="3"/>
  <c r="BQ224" i="3"/>
  <c r="BQ223" i="3"/>
  <c r="BQ222" i="3"/>
  <c r="BQ221" i="3"/>
  <c r="BQ220" i="3"/>
  <c r="BQ219" i="3"/>
  <c r="BQ218" i="3"/>
  <c r="BQ217" i="3"/>
  <c r="BQ216" i="3"/>
  <c r="BQ215" i="3"/>
  <c r="BQ214" i="3"/>
  <c r="BQ213" i="3"/>
  <c r="BQ212" i="3"/>
  <c r="BQ211" i="3"/>
  <c r="BQ210" i="3"/>
  <c r="BQ209" i="3"/>
  <c r="BQ208" i="3"/>
  <c r="BQ207" i="3"/>
  <c r="BQ206" i="3"/>
  <c r="BQ205" i="3"/>
  <c r="BQ204" i="3"/>
  <c r="BQ203" i="3"/>
  <c r="BQ202" i="3"/>
  <c r="BQ201" i="3"/>
  <c r="BQ200" i="3"/>
  <c r="BQ199" i="3"/>
  <c r="BQ198" i="3"/>
  <c r="BQ197" i="3"/>
  <c r="BQ196" i="3"/>
  <c r="BQ195" i="3"/>
  <c r="BQ194" i="3"/>
  <c r="BQ193" i="3"/>
  <c r="BQ192" i="3"/>
  <c r="BQ191" i="3"/>
  <c r="BQ190" i="3"/>
  <c r="BQ189" i="3"/>
  <c r="BQ188" i="3"/>
  <c r="BQ187" i="3"/>
  <c r="BQ186" i="3"/>
  <c r="BQ185" i="3"/>
  <c r="BQ184" i="3"/>
  <c r="BQ183" i="3"/>
  <c r="BQ182" i="3"/>
  <c r="BQ181" i="3"/>
  <c r="BQ180" i="3"/>
  <c r="BQ179" i="3"/>
  <c r="BQ178" i="3"/>
  <c r="BQ177" i="3"/>
  <c r="BQ176" i="3"/>
  <c r="BQ175" i="3"/>
  <c r="BQ174" i="3"/>
  <c r="BQ173" i="3"/>
  <c r="BQ172" i="3"/>
  <c r="BQ171" i="3"/>
  <c r="BQ170" i="3"/>
  <c r="BQ169" i="3"/>
  <c r="BQ168" i="3"/>
  <c r="BQ167" i="3"/>
  <c r="BQ166" i="3"/>
  <c r="BQ165" i="3"/>
  <c r="BQ164" i="3"/>
  <c r="BQ163" i="3"/>
  <c r="BQ162" i="3"/>
  <c r="BQ161" i="3"/>
  <c r="BQ160" i="3"/>
  <c r="BQ159" i="3"/>
  <c r="BQ158" i="3"/>
  <c r="BQ157" i="3"/>
  <c r="BQ156" i="3"/>
  <c r="BQ155" i="3"/>
  <c r="BQ154" i="3"/>
  <c r="BQ153" i="3"/>
  <c r="BQ152" i="3"/>
  <c r="BQ151" i="3"/>
  <c r="BQ150" i="3"/>
  <c r="BQ149" i="3"/>
  <c r="BQ148" i="3"/>
  <c r="BQ147" i="3"/>
  <c r="BQ146" i="3"/>
  <c r="BQ145" i="3"/>
  <c r="BQ144" i="3"/>
  <c r="BQ143" i="3"/>
  <c r="BQ142" i="3"/>
  <c r="BQ141" i="3"/>
  <c r="BQ140" i="3"/>
  <c r="BQ139" i="3"/>
  <c r="BQ138" i="3"/>
  <c r="BQ137" i="3"/>
  <c r="BQ136" i="3"/>
  <c r="BQ135" i="3"/>
  <c r="BQ134" i="3"/>
  <c r="BQ133" i="3"/>
  <c r="BQ132" i="3"/>
  <c r="BQ131" i="3"/>
  <c r="BQ130" i="3"/>
  <c r="BQ129" i="3"/>
  <c r="BQ128" i="3"/>
  <c r="BQ127" i="3"/>
  <c r="BQ126" i="3"/>
  <c r="BQ125" i="3"/>
  <c r="BQ124" i="3"/>
  <c r="BQ123" i="3"/>
  <c r="BQ122" i="3"/>
  <c r="BQ121" i="3"/>
  <c r="BQ120" i="3"/>
  <c r="BQ119" i="3"/>
  <c r="BQ118" i="3"/>
  <c r="BQ117" i="3"/>
  <c r="BQ116" i="3"/>
  <c r="BQ115" i="3"/>
  <c r="BQ114" i="3"/>
  <c r="BQ113" i="3"/>
  <c r="BQ112" i="3"/>
  <c r="BQ111" i="3"/>
  <c r="BQ110" i="3"/>
  <c r="BQ109" i="3"/>
  <c r="BQ108" i="3"/>
  <c r="BQ107" i="3"/>
  <c r="BQ106" i="3"/>
  <c r="BQ105" i="3"/>
  <c r="BQ104" i="3"/>
  <c r="BQ103" i="3"/>
  <c r="BQ102" i="3"/>
  <c r="BQ101" i="3"/>
  <c r="BQ100" i="3"/>
  <c r="BQ99" i="3"/>
  <c r="BQ98" i="3"/>
  <c r="BQ97" i="3"/>
  <c r="BQ96" i="3"/>
  <c r="BQ95" i="3"/>
  <c r="BQ94" i="3"/>
  <c r="BQ93" i="3"/>
  <c r="BQ92" i="3"/>
  <c r="BQ91" i="3"/>
  <c r="BQ90" i="3"/>
  <c r="BQ89" i="3"/>
  <c r="BQ88" i="3"/>
  <c r="BQ87" i="3"/>
  <c r="BQ86" i="3"/>
  <c r="BQ85" i="3"/>
  <c r="BQ84" i="3"/>
  <c r="BQ83" i="3"/>
  <c r="BQ82" i="3"/>
  <c r="BQ81" i="3"/>
  <c r="BQ80" i="3"/>
  <c r="BQ79" i="3"/>
  <c r="BQ78" i="3"/>
  <c r="BQ77" i="3"/>
  <c r="BQ76" i="3"/>
  <c r="BQ75" i="3"/>
  <c r="BQ74" i="3"/>
  <c r="BQ73" i="3"/>
  <c r="BQ72" i="3"/>
  <c r="BQ71" i="3"/>
  <c r="BQ70" i="3"/>
  <c r="BQ69" i="3"/>
  <c r="BQ68" i="3"/>
  <c r="BQ67" i="3"/>
  <c r="BQ66" i="3"/>
  <c r="BQ65" i="3"/>
  <c r="BQ64" i="3"/>
  <c r="BQ63" i="3"/>
  <c r="BQ62" i="3"/>
  <c r="BQ61" i="3"/>
  <c r="BQ60" i="3"/>
  <c r="BQ59" i="3"/>
  <c r="BQ58" i="3"/>
  <c r="BQ57" i="3"/>
  <c r="BQ56" i="3"/>
  <c r="BQ55" i="3"/>
  <c r="BQ54" i="3"/>
  <c r="BQ53" i="3"/>
  <c r="BQ52" i="3"/>
  <c r="BQ51" i="3"/>
  <c r="BQ50" i="3"/>
  <c r="BQ49" i="3"/>
  <c r="BQ48" i="3"/>
  <c r="BQ47" i="3"/>
  <c r="BQ46" i="3"/>
  <c r="BQ45" i="3"/>
  <c r="BQ44" i="3"/>
  <c r="BQ43" i="3"/>
  <c r="BQ42" i="3"/>
  <c r="BQ41" i="3"/>
  <c r="BQ40" i="3"/>
  <c r="BQ39" i="3"/>
  <c r="BQ38" i="3"/>
  <c r="BQ37" i="3"/>
  <c r="BQ36" i="3"/>
  <c r="BQ35" i="3"/>
  <c r="BQ34" i="3"/>
  <c r="BQ33" i="3"/>
  <c r="BQ32" i="3"/>
  <c r="BQ31" i="3"/>
  <c r="BQ30" i="3"/>
  <c r="BQ29" i="3"/>
  <c r="BQ28" i="3"/>
  <c r="BQ27" i="3"/>
  <c r="BQ26" i="3"/>
  <c r="BQ25" i="3"/>
  <c r="BQ24" i="3"/>
  <c r="BQ23" i="3"/>
  <c r="BQ22" i="3"/>
  <c r="BQ21" i="3"/>
  <c r="BQ20" i="3"/>
  <c r="BQ19" i="3"/>
  <c r="BQ18" i="3"/>
  <c r="BQ17" i="3"/>
  <c r="BQ16" i="3"/>
  <c r="BQ15" i="3"/>
  <c r="BQ14" i="3"/>
  <c r="BQ13" i="3"/>
  <c r="BQ12" i="3"/>
  <c r="BQ11" i="3"/>
  <c r="BQ10" i="3"/>
  <c r="BQ9" i="3"/>
  <c r="BQ8" i="3"/>
  <c r="BQ7" i="3"/>
  <c r="BQ6" i="3"/>
  <c r="BQ5" i="3"/>
  <c r="BQ4" i="3"/>
  <c r="BR172" i="3"/>
  <c r="BR171" i="3"/>
  <c r="BR170" i="3"/>
  <c r="BR169" i="3"/>
  <c r="BR168" i="3"/>
  <c r="BR167" i="3"/>
  <c r="BR166" i="3"/>
  <c r="BR165" i="3"/>
  <c r="BR164" i="3"/>
  <c r="BR163" i="3"/>
  <c r="BR162" i="3"/>
  <c r="BR161" i="3"/>
  <c r="BR160" i="3"/>
  <c r="BR159" i="3"/>
  <c r="BR158" i="3"/>
  <c r="BR157" i="3"/>
  <c r="BR156" i="3"/>
  <c r="BR155" i="3"/>
  <c r="BR154" i="3"/>
  <c r="BR153" i="3"/>
  <c r="BR152" i="3"/>
  <c r="BR151" i="3"/>
  <c r="BR150" i="3"/>
  <c r="BR149" i="3"/>
  <c r="BR148" i="3"/>
  <c r="BR147" i="3"/>
  <c r="BR146" i="3"/>
  <c r="BR145" i="3"/>
  <c r="BR144" i="3"/>
  <c r="BR143" i="3"/>
  <c r="BR142" i="3"/>
  <c r="BR141" i="3"/>
  <c r="BR140" i="3"/>
  <c r="BR139" i="3"/>
  <c r="BR138" i="3"/>
  <c r="BR137" i="3"/>
  <c r="BR136" i="3"/>
  <c r="BR135" i="3"/>
  <c r="BR134" i="3"/>
  <c r="BR133" i="3"/>
  <c r="BR132" i="3"/>
  <c r="BR131" i="3"/>
  <c r="BR130" i="3"/>
  <c r="BR129" i="3"/>
  <c r="BR128" i="3"/>
  <c r="BR127" i="3"/>
  <c r="BR126" i="3"/>
  <c r="BR125" i="3"/>
  <c r="BR124" i="3"/>
  <c r="BR123" i="3"/>
  <c r="BR122" i="3"/>
  <c r="BR121" i="3"/>
  <c r="BR120" i="3"/>
  <c r="BR119" i="3"/>
  <c r="BR118" i="3"/>
  <c r="BR117" i="3"/>
  <c r="BR116" i="3"/>
  <c r="BR115" i="3"/>
  <c r="BR114" i="3"/>
  <c r="BR113" i="3"/>
  <c r="BR112" i="3"/>
  <c r="BR111" i="3"/>
  <c r="BR110" i="3"/>
  <c r="BR109" i="3"/>
  <c r="BR108" i="3"/>
  <c r="BR107" i="3"/>
  <c r="BR106" i="3"/>
  <c r="BR105" i="3"/>
  <c r="BR104" i="3"/>
  <c r="BR103" i="3"/>
  <c r="BR102" i="3"/>
  <c r="BR101" i="3"/>
  <c r="BR100" i="3"/>
  <c r="BR99" i="3"/>
  <c r="BR98" i="3"/>
  <c r="BR97" i="3"/>
  <c r="BR96" i="3"/>
  <c r="BR95" i="3"/>
  <c r="BR94" i="3"/>
  <c r="BR93" i="3"/>
  <c r="BR92" i="3"/>
  <c r="BR91" i="3"/>
  <c r="BR90" i="3"/>
  <c r="BR89" i="3"/>
  <c r="BR88" i="3"/>
  <c r="BR87" i="3"/>
  <c r="BR86" i="3"/>
  <c r="BR85" i="3"/>
  <c r="BR84" i="3"/>
  <c r="BR83" i="3"/>
  <c r="BR82" i="3"/>
  <c r="BR81" i="3"/>
  <c r="BR80" i="3"/>
  <c r="BR79" i="3"/>
  <c r="BR78" i="3"/>
  <c r="BR77" i="3"/>
  <c r="BR76" i="3"/>
  <c r="BR75" i="3"/>
  <c r="BR74" i="3"/>
  <c r="BR73" i="3"/>
  <c r="BR72" i="3"/>
  <c r="BR71" i="3"/>
  <c r="BR70" i="3"/>
  <c r="BR69" i="3"/>
  <c r="BR68" i="3"/>
  <c r="BR67" i="3"/>
  <c r="BR66" i="3"/>
  <c r="BR65" i="3"/>
  <c r="BR64" i="3"/>
  <c r="BR63" i="3"/>
  <c r="BR62" i="3"/>
  <c r="BR61" i="3"/>
  <c r="BR60" i="3"/>
  <c r="BR59" i="3"/>
  <c r="BR58" i="3"/>
  <c r="BR57" i="3"/>
  <c r="BR56" i="3"/>
  <c r="BR55" i="3"/>
  <c r="BR54" i="3"/>
  <c r="BR53" i="3"/>
  <c r="BR52" i="3"/>
  <c r="BR51" i="3"/>
  <c r="BR50" i="3"/>
  <c r="BR49" i="3"/>
  <c r="BR48" i="3"/>
  <c r="BR47" i="3"/>
  <c r="BR46" i="3"/>
  <c r="BR45" i="3"/>
  <c r="BR44" i="3"/>
  <c r="BR43" i="3"/>
  <c r="BR42" i="3"/>
  <c r="BR41" i="3"/>
  <c r="BR40" i="3"/>
  <c r="BR39" i="3"/>
  <c r="BR38" i="3"/>
  <c r="BR37" i="3"/>
  <c r="BR36" i="3"/>
  <c r="BR35" i="3"/>
  <c r="BR34" i="3"/>
  <c r="BR33" i="3"/>
  <c r="BR32" i="3"/>
  <c r="BR31" i="3"/>
  <c r="BR30" i="3"/>
  <c r="BR29" i="3"/>
  <c r="BR28" i="3"/>
  <c r="BR27" i="3"/>
  <c r="BR26" i="3"/>
  <c r="BR25" i="3"/>
  <c r="BR24" i="3"/>
  <c r="BR23" i="3"/>
  <c r="BR22" i="3"/>
  <c r="BR21" i="3"/>
  <c r="BR20" i="3"/>
  <c r="BR19" i="3"/>
  <c r="BR18" i="3"/>
  <c r="BR17" i="3"/>
  <c r="BR16" i="3"/>
  <c r="BR15" i="3"/>
  <c r="BR14" i="3"/>
  <c r="BR13" i="3"/>
  <c r="BR12" i="3"/>
  <c r="BR11" i="3"/>
  <c r="BR10" i="3"/>
  <c r="BR9" i="3"/>
  <c r="BR8" i="3"/>
  <c r="BR7" i="3"/>
  <c r="BR6" i="3"/>
  <c r="BR5" i="3"/>
  <c r="BR4" i="3"/>
  <c r="CH28" i="2"/>
  <c r="CH27" i="2"/>
  <c r="CH26" i="2"/>
  <c r="CH25" i="2"/>
  <c r="CH24" i="2"/>
  <c r="CH23" i="2"/>
  <c r="CH22" i="2"/>
  <c r="CH21" i="2"/>
  <c r="CH20" i="2"/>
  <c r="CH19" i="2"/>
  <c r="CH18" i="2"/>
  <c r="CH17" i="2"/>
  <c r="CH16" i="2"/>
  <c r="CH15" i="2"/>
  <c r="CH14" i="2"/>
  <c r="CH13" i="2"/>
  <c r="CH12" i="2"/>
  <c r="CH11" i="2"/>
  <c r="CH10" i="2"/>
  <c r="CH9" i="2"/>
  <c r="CH8" i="2"/>
  <c r="CH7" i="2"/>
  <c r="CH6" i="2"/>
  <c r="CH5" i="2"/>
  <c r="CH4" i="2"/>
  <c r="BN172" i="3"/>
  <c r="BN171" i="3"/>
  <c r="BN170" i="3"/>
  <c r="BN169" i="3"/>
  <c r="BN168" i="3"/>
  <c r="BN167" i="3"/>
  <c r="BN166" i="3"/>
  <c r="BN165" i="3"/>
  <c r="BN164" i="3"/>
  <c r="BN163" i="3"/>
  <c r="BN162" i="3"/>
  <c r="BN161" i="3"/>
  <c r="BN160" i="3"/>
  <c r="BN159" i="3"/>
  <c r="BN158" i="3"/>
  <c r="BN157" i="3"/>
  <c r="BN156" i="3"/>
  <c r="BN155" i="3"/>
  <c r="BN154" i="3"/>
  <c r="BN153" i="3"/>
  <c r="BN152" i="3"/>
  <c r="BN151" i="3"/>
  <c r="BN150" i="3"/>
  <c r="BN149" i="3"/>
  <c r="BN148" i="3"/>
  <c r="BN147" i="3"/>
  <c r="BN146" i="3"/>
  <c r="BN145" i="3"/>
  <c r="BN144" i="3"/>
  <c r="BN143" i="3"/>
  <c r="BN142" i="3"/>
  <c r="BN141" i="3"/>
  <c r="BN140" i="3"/>
  <c r="BN139" i="3"/>
  <c r="BN138" i="3"/>
  <c r="BN137" i="3"/>
  <c r="BN136" i="3"/>
  <c r="BN135" i="3"/>
  <c r="BN134" i="3"/>
  <c r="BN133" i="3"/>
  <c r="BN132" i="3"/>
  <c r="BN131" i="3"/>
  <c r="BN130" i="3"/>
  <c r="BN129" i="3"/>
  <c r="BN128" i="3"/>
  <c r="BN127" i="3"/>
  <c r="BN126" i="3"/>
  <c r="BN125" i="3"/>
  <c r="BN124" i="3"/>
  <c r="BN123" i="3"/>
  <c r="BN122" i="3"/>
  <c r="BN121" i="3"/>
  <c r="BN120" i="3"/>
  <c r="BN119" i="3"/>
  <c r="BN118" i="3"/>
  <c r="BN117" i="3"/>
  <c r="BN116" i="3"/>
  <c r="BN115" i="3"/>
  <c r="BN114" i="3"/>
  <c r="BN113" i="3"/>
  <c r="BN112" i="3"/>
  <c r="BN111" i="3"/>
  <c r="BN110" i="3"/>
  <c r="BN109" i="3"/>
  <c r="BN108" i="3"/>
  <c r="BN107" i="3"/>
  <c r="BN106" i="3"/>
  <c r="BN105" i="3"/>
  <c r="BN104" i="3"/>
  <c r="BN103" i="3"/>
  <c r="BN102" i="3"/>
  <c r="BN101" i="3"/>
  <c r="BN100" i="3"/>
  <c r="BN99" i="3"/>
  <c r="BN98" i="3"/>
  <c r="BN97" i="3"/>
  <c r="BN96" i="3"/>
  <c r="BN95" i="3"/>
  <c r="BN94" i="3"/>
  <c r="BN93" i="3"/>
  <c r="BN92" i="3"/>
  <c r="BN91" i="3"/>
  <c r="BN90" i="3"/>
  <c r="BN89" i="3"/>
  <c r="BN88" i="3"/>
  <c r="BN87" i="3"/>
  <c r="BN86" i="3"/>
  <c r="BN85" i="3"/>
  <c r="BN84" i="3"/>
  <c r="BN83" i="3"/>
  <c r="BN82" i="3"/>
  <c r="BN81" i="3"/>
  <c r="BN80" i="3"/>
  <c r="BN79" i="3"/>
  <c r="BN78" i="3"/>
  <c r="BN77" i="3"/>
  <c r="BN76" i="3"/>
  <c r="BN75" i="3"/>
  <c r="BN74" i="3"/>
  <c r="BN73" i="3"/>
  <c r="BN72" i="3"/>
  <c r="BN71" i="3"/>
  <c r="BN70" i="3"/>
  <c r="BN69" i="3"/>
  <c r="BN68" i="3"/>
  <c r="BN67" i="3"/>
  <c r="BN66" i="3"/>
  <c r="BN65" i="3"/>
  <c r="BN64" i="3"/>
  <c r="BN63" i="3"/>
  <c r="BN62" i="3"/>
  <c r="BN61" i="3"/>
  <c r="BN60" i="3"/>
  <c r="BN59" i="3"/>
  <c r="BN58" i="3"/>
  <c r="BN57" i="3"/>
  <c r="BN56" i="3"/>
  <c r="BN55" i="3"/>
  <c r="BN54" i="3"/>
  <c r="BN53" i="3"/>
  <c r="BN52" i="3"/>
  <c r="BN51" i="3"/>
  <c r="BN50" i="3"/>
  <c r="BN49" i="3"/>
  <c r="BN48" i="3"/>
  <c r="BN47" i="3"/>
  <c r="BN46" i="3"/>
  <c r="BN45" i="3"/>
  <c r="BN44" i="3"/>
  <c r="BN43" i="3"/>
  <c r="BN42" i="3"/>
  <c r="BN41" i="3"/>
  <c r="BN40" i="3"/>
  <c r="BN39" i="3"/>
  <c r="BN38" i="3"/>
  <c r="BN37" i="3"/>
  <c r="BN36" i="3"/>
  <c r="BN35" i="3"/>
  <c r="BN34" i="3"/>
  <c r="BN33" i="3"/>
  <c r="BN32" i="3"/>
  <c r="BN31" i="3"/>
  <c r="BN30" i="3"/>
  <c r="BN29" i="3"/>
  <c r="BN28" i="3"/>
  <c r="BN27" i="3"/>
  <c r="BN26" i="3"/>
  <c r="BN25" i="3"/>
  <c r="BN24" i="3"/>
  <c r="BN23" i="3"/>
  <c r="BN22" i="3"/>
  <c r="BN21" i="3"/>
  <c r="BN20" i="3"/>
  <c r="BN19" i="3"/>
  <c r="BN18" i="3"/>
  <c r="BN17" i="3"/>
  <c r="BN16" i="3"/>
  <c r="BN15" i="3"/>
  <c r="BN14" i="3"/>
  <c r="BN13" i="3"/>
  <c r="BN12" i="3"/>
  <c r="BN11" i="3"/>
  <c r="BN10" i="3"/>
  <c r="AK24" i="2" l="1" a="1"/>
  <c r="AK24" i="2" s="1"/>
  <c r="Q71" i="3" l="1"/>
  <c r="Q70" i="3"/>
  <c r="Q69" i="3"/>
  <c r="Q68" i="3"/>
  <c r="Q67" i="3"/>
  <c r="Q66" i="3"/>
  <c r="Q65" i="3"/>
  <c r="Q64" i="3"/>
  <c r="Q63" i="3"/>
  <c r="Q62" i="3"/>
  <c r="Q61" i="3"/>
  <c r="Q60" i="3"/>
  <c r="Q59" i="3"/>
  <c r="Q58" i="3"/>
  <c r="Q57" i="3"/>
  <c r="Q56" i="3"/>
  <c r="Q55" i="3"/>
  <c r="Q54" i="3"/>
  <c r="Q53" i="3"/>
  <c r="Q52" i="3"/>
  <c r="Q51" i="3"/>
  <c r="Q50" i="3"/>
  <c r="Q49" i="3"/>
  <c r="Q48" i="3"/>
  <c r="Q47" i="3"/>
  <c r="Q46" i="3"/>
  <c r="Q45" i="3"/>
  <c r="Q44" i="3"/>
  <c r="Q43" i="3"/>
  <c r="Q42" i="3"/>
  <c r="Q41" i="3"/>
  <c r="Q40" i="3"/>
  <c r="Q39" i="3"/>
  <c r="Q38" i="3"/>
  <c r="Q37" i="3"/>
  <c r="Q36" i="3"/>
  <c r="Q35" i="3"/>
  <c r="Q34" i="3"/>
  <c r="Q33" i="3"/>
  <c r="Q32" i="3"/>
  <c r="Q31" i="3"/>
  <c r="Q30" i="3"/>
  <c r="Q29" i="3"/>
  <c r="Q28" i="3"/>
  <c r="Q27" i="3"/>
  <c r="Q26" i="3"/>
  <c r="Q25" i="3"/>
  <c r="Q24" i="3"/>
  <c r="Q23" i="3"/>
  <c r="Q22" i="3"/>
  <c r="Q21" i="3"/>
  <c r="Q20" i="3"/>
  <c r="Q19" i="3"/>
  <c r="Q18" i="3"/>
  <c r="Q17" i="3"/>
  <c r="Q16" i="3"/>
  <c r="Q15" i="3"/>
  <c r="Q14" i="3"/>
  <c r="Q13" i="3"/>
  <c r="Q12" i="3"/>
  <c r="Q11" i="3"/>
  <c r="Q10" i="3"/>
  <c r="Q9" i="3"/>
  <c r="Q8" i="3"/>
  <c r="Q7" i="3"/>
  <c r="Q6" i="3"/>
  <c r="Q5" i="3"/>
  <c r="Q4" i="3"/>
  <c r="J1639" i="3"/>
  <c r="J1638" i="3"/>
  <c r="J1637" i="3"/>
  <c r="J1636" i="3"/>
  <c r="J1635" i="3"/>
  <c r="J1634" i="3"/>
  <c r="J1633" i="3"/>
  <c r="J1632" i="3"/>
  <c r="J1631" i="3"/>
  <c r="J1630" i="3"/>
  <c r="J1629" i="3"/>
  <c r="J1628" i="3"/>
  <c r="J1627" i="3"/>
  <c r="J1626" i="3"/>
  <c r="J1625" i="3"/>
  <c r="J1624" i="3"/>
  <c r="J1623" i="3"/>
  <c r="J1622" i="3"/>
  <c r="J1621" i="3"/>
  <c r="J1620" i="3"/>
  <c r="J1619" i="3"/>
  <c r="J1618" i="3"/>
  <c r="J1617" i="3"/>
  <c r="J1616" i="3"/>
  <c r="J1615" i="3"/>
  <c r="J1614" i="3"/>
  <c r="J1613" i="3"/>
  <c r="J1612" i="3"/>
  <c r="J1611" i="3"/>
  <c r="J1610" i="3"/>
  <c r="J1609" i="3"/>
  <c r="J1608" i="3"/>
  <c r="J1607" i="3"/>
  <c r="J1606" i="3"/>
  <c r="J1605" i="3"/>
  <c r="J1604" i="3"/>
  <c r="J1603" i="3"/>
  <c r="J1602" i="3"/>
  <c r="J1601" i="3"/>
  <c r="J1600" i="3"/>
  <c r="J1599" i="3"/>
  <c r="J1598" i="3"/>
  <c r="J1597" i="3"/>
  <c r="J1596" i="3"/>
  <c r="J1595" i="3"/>
  <c r="J1594" i="3"/>
  <c r="J1593" i="3"/>
  <c r="J1592" i="3"/>
  <c r="J1591" i="3"/>
  <c r="J1590" i="3"/>
  <c r="J1589" i="3"/>
  <c r="J1588" i="3"/>
  <c r="J1587" i="3"/>
  <c r="J1586" i="3"/>
  <c r="J1585" i="3"/>
  <c r="J1584" i="3"/>
  <c r="J1583" i="3"/>
  <c r="J1582" i="3"/>
  <c r="J1581" i="3"/>
  <c r="J1580" i="3"/>
  <c r="J1579" i="3"/>
  <c r="J1578" i="3"/>
  <c r="J1577" i="3"/>
  <c r="J1576" i="3"/>
  <c r="J1575" i="3"/>
  <c r="J1574" i="3"/>
  <c r="J1573" i="3"/>
  <c r="J1572" i="3"/>
  <c r="J1571" i="3"/>
  <c r="J1570" i="3"/>
  <c r="J1569" i="3"/>
  <c r="J1568" i="3"/>
  <c r="J1567" i="3"/>
  <c r="J1566" i="3"/>
  <c r="J1565" i="3"/>
  <c r="J1564" i="3"/>
  <c r="J1563" i="3"/>
  <c r="J1562" i="3"/>
  <c r="J1561" i="3"/>
  <c r="J1560" i="3"/>
  <c r="J1559" i="3"/>
  <c r="J1558" i="3"/>
  <c r="J1557" i="3"/>
  <c r="J1556" i="3"/>
  <c r="J1555" i="3"/>
  <c r="J1554" i="3"/>
  <c r="J1553" i="3"/>
  <c r="J1552" i="3"/>
  <c r="J1551" i="3"/>
  <c r="J1550" i="3"/>
  <c r="J1549" i="3"/>
  <c r="J1548" i="3"/>
  <c r="J1547" i="3"/>
  <c r="J1546" i="3"/>
  <c r="J1545" i="3"/>
  <c r="J1544" i="3"/>
  <c r="J1543" i="3"/>
  <c r="J1542" i="3"/>
  <c r="J1541" i="3"/>
  <c r="J1540" i="3"/>
  <c r="J1539" i="3"/>
  <c r="J1538" i="3"/>
  <c r="J1537" i="3"/>
  <c r="J1536" i="3"/>
  <c r="J1535" i="3"/>
  <c r="J1534" i="3"/>
  <c r="J1533" i="3"/>
  <c r="J1532" i="3"/>
  <c r="J1531" i="3"/>
  <c r="J1530" i="3"/>
  <c r="J1529" i="3"/>
  <c r="J1528" i="3"/>
  <c r="J1527" i="3"/>
  <c r="J1526" i="3"/>
  <c r="J1525" i="3"/>
  <c r="J1524" i="3"/>
  <c r="J1523" i="3"/>
  <c r="J1522" i="3"/>
  <c r="J1521" i="3"/>
  <c r="J1520" i="3"/>
  <c r="J1519" i="3"/>
  <c r="J1518" i="3"/>
  <c r="J1517" i="3"/>
  <c r="J1516" i="3"/>
  <c r="J1515" i="3"/>
  <c r="J1514" i="3"/>
  <c r="J1513" i="3"/>
  <c r="J1512" i="3"/>
  <c r="J1511" i="3"/>
  <c r="J1510" i="3"/>
  <c r="J1509" i="3"/>
  <c r="J1508" i="3"/>
  <c r="J1507" i="3"/>
  <c r="J1506" i="3"/>
  <c r="J1505" i="3"/>
  <c r="J1504" i="3"/>
  <c r="J1503" i="3"/>
  <c r="J1502" i="3"/>
  <c r="J1501" i="3"/>
  <c r="J1500" i="3"/>
  <c r="J1499" i="3"/>
  <c r="J1498" i="3"/>
  <c r="J1497" i="3"/>
  <c r="J1496" i="3"/>
  <c r="J1495" i="3"/>
  <c r="J1494" i="3"/>
  <c r="J1493" i="3"/>
  <c r="J1492" i="3"/>
  <c r="J1491" i="3"/>
  <c r="J1490" i="3"/>
  <c r="J1489" i="3"/>
  <c r="J1488" i="3"/>
  <c r="J1487" i="3"/>
  <c r="J1486" i="3"/>
  <c r="J1485" i="3"/>
  <c r="J1484" i="3"/>
  <c r="J1483" i="3"/>
  <c r="J1482" i="3"/>
  <c r="J1481" i="3"/>
  <c r="J1480" i="3"/>
  <c r="J1479" i="3"/>
  <c r="J1478" i="3"/>
  <c r="J1477" i="3"/>
  <c r="J1476" i="3"/>
  <c r="J1475" i="3"/>
  <c r="J1474" i="3"/>
  <c r="J1473" i="3"/>
  <c r="J1472" i="3"/>
  <c r="J1471" i="3"/>
  <c r="J1470" i="3"/>
  <c r="J1469" i="3"/>
  <c r="J1468" i="3"/>
  <c r="J1467" i="3"/>
  <c r="J1466" i="3"/>
  <c r="J1465" i="3"/>
  <c r="J1464" i="3"/>
  <c r="J1463" i="3"/>
  <c r="J1462" i="3"/>
  <c r="J1461" i="3"/>
  <c r="J1460" i="3"/>
  <c r="J1459" i="3"/>
  <c r="J1458" i="3"/>
  <c r="J1457" i="3"/>
  <c r="J1456" i="3"/>
  <c r="J1455" i="3"/>
  <c r="J1454" i="3"/>
  <c r="J1453" i="3"/>
  <c r="J1452" i="3"/>
  <c r="J1451" i="3"/>
  <c r="J1450" i="3"/>
  <c r="J1449" i="3"/>
  <c r="J1448" i="3"/>
  <c r="J1447" i="3"/>
  <c r="J1446" i="3"/>
  <c r="J1445" i="3"/>
  <c r="J1444" i="3"/>
  <c r="J1443" i="3"/>
  <c r="J1442" i="3"/>
  <c r="J1441" i="3"/>
  <c r="J1440" i="3"/>
  <c r="J1439" i="3"/>
  <c r="J1438" i="3"/>
  <c r="J1437" i="3"/>
  <c r="J1436" i="3"/>
  <c r="J1435" i="3"/>
  <c r="J1434" i="3"/>
  <c r="J1433" i="3"/>
  <c r="J1432" i="3"/>
  <c r="J1431" i="3"/>
  <c r="J1430" i="3"/>
  <c r="J1429" i="3"/>
  <c r="J1428" i="3"/>
  <c r="J1427" i="3"/>
  <c r="J1426" i="3"/>
  <c r="J1425" i="3"/>
  <c r="J1424" i="3"/>
  <c r="J1423" i="3"/>
  <c r="J1422" i="3"/>
  <c r="J1421" i="3"/>
  <c r="J1420" i="3"/>
  <c r="J1419" i="3"/>
  <c r="J1418" i="3"/>
  <c r="J1417" i="3"/>
  <c r="J1416" i="3"/>
  <c r="J1415" i="3"/>
  <c r="J1414" i="3"/>
  <c r="J1413" i="3"/>
  <c r="J1412" i="3"/>
  <c r="CT187" i="1"/>
  <c r="CT186" i="1"/>
  <c r="CT185" i="1"/>
  <c r="CT184" i="1"/>
  <c r="CT183" i="1"/>
  <c r="CT182" i="1"/>
  <c r="CT181" i="1"/>
  <c r="CT180" i="1"/>
  <c r="CT179" i="1"/>
  <c r="CT178" i="1"/>
  <c r="CT177" i="1"/>
  <c r="CT176" i="1"/>
  <c r="CT175" i="1"/>
  <c r="CT174" i="1"/>
  <c r="CT173" i="1"/>
  <c r="CT172" i="1"/>
  <c r="CT171" i="1"/>
  <c r="CT170" i="1"/>
  <c r="CT169" i="1"/>
  <c r="CT168" i="1"/>
  <c r="CT167" i="1"/>
  <c r="CT166" i="1"/>
  <c r="CT165" i="1"/>
  <c r="CT164" i="1"/>
  <c r="CT163" i="1"/>
  <c r="CT162" i="1"/>
  <c r="CT161" i="1"/>
  <c r="CT160" i="1"/>
  <c r="CT159" i="1"/>
  <c r="CT158" i="1"/>
  <c r="CT157" i="1"/>
  <c r="CT156" i="1"/>
  <c r="CT155" i="1"/>
  <c r="CT154" i="1"/>
  <c r="CT153" i="1"/>
  <c r="CT152" i="1"/>
  <c r="CT151" i="1"/>
  <c r="CT150" i="1"/>
  <c r="CT149" i="1"/>
  <c r="CT148" i="1"/>
  <c r="CT147" i="1"/>
  <c r="CT146" i="1"/>
  <c r="CT145" i="1"/>
  <c r="CT144" i="1"/>
  <c r="CT143" i="1"/>
  <c r="CT142" i="1"/>
  <c r="CT141" i="1"/>
  <c r="CT140" i="1"/>
  <c r="CT139" i="1"/>
  <c r="CT138" i="1"/>
  <c r="CT137" i="1"/>
  <c r="CT136" i="1"/>
  <c r="CT135" i="1"/>
  <c r="CT134" i="1"/>
  <c r="CT133" i="1"/>
  <c r="CT132" i="1"/>
  <c r="CT131" i="1"/>
  <c r="CT130" i="1"/>
  <c r="CT129" i="1"/>
  <c r="CT128" i="1"/>
  <c r="CT127" i="1"/>
  <c r="CT126" i="1"/>
  <c r="CT125" i="1"/>
  <c r="CT124" i="1"/>
  <c r="CT123" i="1"/>
  <c r="CT122" i="1"/>
  <c r="CT121" i="1"/>
  <c r="CT120" i="1"/>
  <c r="CT119" i="1"/>
  <c r="CT118" i="1"/>
  <c r="CT117" i="1"/>
  <c r="CT116" i="1"/>
  <c r="CT115" i="1"/>
  <c r="CT114" i="1"/>
  <c r="CT113" i="1"/>
  <c r="CT112" i="1"/>
  <c r="CT111" i="1"/>
  <c r="CT110" i="1"/>
  <c r="CT109" i="1"/>
  <c r="CT108" i="1"/>
  <c r="CT107" i="1"/>
  <c r="CT106" i="1"/>
  <c r="CT105" i="1"/>
  <c r="CT104" i="1"/>
  <c r="CT103" i="1"/>
  <c r="CT102" i="1"/>
  <c r="CT101" i="1"/>
  <c r="CT100" i="1"/>
  <c r="CT99" i="1"/>
  <c r="CT98" i="1"/>
  <c r="CT97" i="1"/>
  <c r="CT96" i="1"/>
  <c r="CT95" i="1"/>
  <c r="CT94" i="1"/>
  <c r="CT93" i="1"/>
  <c r="CT92" i="1"/>
  <c r="CT91" i="1"/>
  <c r="CT90" i="1"/>
  <c r="CT89" i="1"/>
  <c r="CT88" i="1"/>
  <c r="CT87" i="1"/>
  <c r="CT86" i="1"/>
  <c r="CT85" i="1"/>
  <c r="CT84" i="1"/>
  <c r="CT83" i="1"/>
  <c r="CT82" i="1"/>
  <c r="CT81" i="1"/>
  <c r="CT80" i="1"/>
  <c r="CT79" i="1"/>
  <c r="CT78" i="1"/>
  <c r="CT77" i="1"/>
  <c r="CT76" i="1"/>
  <c r="CT75" i="1"/>
  <c r="CT74" i="1"/>
  <c r="CT73" i="1"/>
  <c r="CT68" i="1"/>
  <c r="CT67" i="1"/>
  <c r="CT66" i="1"/>
  <c r="CT65" i="1"/>
  <c r="CT64" i="1"/>
  <c r="CT63" i="1"/>
  <c r="CT62" i="1"/>
  <c r="CT61" i="1"/>
  <c r="CT60" i="1"/>
  <c r="CT59" i="1"/>
  <c r="CT58" i="1"/>
  <c r="CT57" i="1"/>
  <c r="CT56" i="1"/>
  <c r="CT55" i="1"/>
  <c r="CT54" i="1"/>
  <c r="CT53" i="1"/>
  <c r="CT52" i="1"/>
  <c r="CT51" i="1"/>
  <c r="CT50" i="1"/>
  <c r="CT49" i="1"/>
  <c r="CT48" i="1"/>
  <c r="CT47" i="1"/>
  <c r="CT46" i="1"/>
  <c r="CT45" i="1"/>
  <c r="CT44" i="1"/>
  <c r="CT43" i="1"/>
  <c r="CT42" i="1"/>
  <c r="CT41" i="1"/>
  <c r="CT40" i="1"/>
  <c r="CT39" i="1"/>
  <c r="CT38" i="1"/>
  <c r="CT37" i="1"/>
  <c r="CT36" i="1"/>
  <c r="CT35" i="1"/>
  <c r="CT34" i="1"/>
  <c r="CT33" i="1"/>
  <c r="CT32" i="1"/>
  <c r="CT31" i="1"/>
  <c r="CT30" i="1"/>
  <c r="CT29" i="1"/>
  <c r="CT28" i="1"/>
  <c r="CT27" i="1"/>
  <c r="CT26" i="1"/>
  <c r="CT25" i="1"/>
  <c r="CT24" i="1"/>
  <c r="CT23" i="1"/>
  <c r="CT22" i="1"/>
  <c r="CT21" i="1"/>
  <c r="CT20" i="1"/>
  <c r="CT19" i="1"/>
  <c r="CT18" i="1"/>
  <c r="CT17" i="1"/>
  <c r="CT16" i="1"/>
  <c r="CT15" i="1"/>
  <c r="CT14" i="1"/>
  <c r="CT13" i="1"/>
  <c r="CT12" i="1"/>
  <c r="CT11" i="1"/>
  <c r="CT10" i="1"/>
  <c r="CT9" i="1"/>
  <c r="CT8" i="1"/>
  <c r="CT7" i="1"/>
  <c r="CT6" i="1"/>
  <c r="CT5" i="1"/>
  <c r="CT4" i="1"/>
  <c r="CR66" i="1"/>
  <c r="CW187" i="1" s="1"/>
  <c r="CR65" i="1"/>
  <c r="CW183" i="1" s="1"/>
  <c r="CW180" i="1" l="1"/>
  <c r="CW184" i="1"/>
  <c r="CW181" i="1"/>
  <c r="CW185" i="1"/>
  <c r="CW182" i="1"/>
  <c r="CW186" i="1"/>
  <c r="KA2" i="1" l="1"/>
  <c r="KD2" i="1"/>
  <c r="AX20" i="1" l="1"/>
  <c r="AY20" i="1" s="1"/>
  <c r="AX19" i="1"/>
  <c r="AX18" i="1"/>
  <c r="AX17" i="1"/>
  <c r="AX16" i="1"/>
  <c r="AZ16" i="1" s="1"/>
  <c r="AX15" i="1"/>
  <c r="AX14" i="1"/>
  <c r="AZ14" i="1" s="1"/>
  <c r="AX13" i="1"/>
  <c r="AZ13" i="1" s="1"/>
  <c r="AX12" i="1"/>
  <c r="AZ12" i="1" s="1"/>
  <c r="AX11" i="1"/>
  <c r="AZ11" i="1" s="1"/>
  <c r="AX10" i="1"/>
  <c r="AZ10" i="1" s="1"/>
  <c r="AX9" i="1"/>
  <c r="AX8" i="1"/>
  <c r="AI20" i="1"/>
  <c r="BJ20" i="1" s="1"/>
  <c r="AI19" i="1"/>
  <c r="BJ19" i="1" s="1"/>
  <c r="AI18" i="1"/>
  <c r="BJ18" i="1" s="1"/>
  <c r="AI17" i="1"/>
  <c r="BJ17" i="1" s="1"/>
  <c r="AI16" i="1"/>
  <c r="BJ16" i="1" s="1"/>
  <c r="AI15" i="1"/>
  <c r="BJ15" i="1" s="1"/>
  <c r="AI14" i="1"/>
  <c r="BJ14" i="1" s="1"/>
  <c r="AI13" i="1"/>
  <c r="BJ13" i="1" s="1"/>
  <c r="AI8" i="1"/>
  <c r="BJ8" i="1" s="1"/>
  <c r="AI9" i="1"/>
  <c r="BJ9" i="1" s="1"/>
  <c r="AI10" i="1"/>
  <c r="BJ10" i="1" s="1"/>
  <c r="AI11" i="1"/>
  <c r="BJ11" i="1" s="1"/>
  <c r="AI12" i="1"/>
  <c r="BJ12" i="1" s="1"/>
  <c r="AJ8" i="1"/>
  <c r="AJ9" i="1"/>
  <c r="AJ10" i="1"/>
  <c r="AJ11" i="1"/>
  <c r="AH8" i="1"/>
  <c r="AH9" i="1"/>
  <c r="BL9" i="1" s="1"/>
  <c r="AH10" i="1"/>
  <c r="BL10" i="1" s="1"/>
  <c r="AH11" i="1"/>
  <c r="AJ20" i="1"/>
  <c r="AJ19" i="1"/>
  <c r="AJ18" i="1"/>
  <c r="AJ17" i="1"/>
  <c r="AJ16" i="1"/>
  <c r="AJ15" i="1"/>
  <c r="AJ14" i="1"/>
  <c r="AJ13" i="1"/>
  <c r="AJ12" i="1"/>
  <c r="AH13" i="1"/>
  <c r="BL13" i="1" s="1"/>
  <c r="AH14" i="1"/>
  <c r="BL14" i="1" s="1"/>
  <c r="AH15" i="1"/>
  <c r="BL15" i="1" s="1"/>
  <c r="AH16" i="1"/>
  <c r="AH17" i="1"/>
  <c r="BL17" i="1" s="1"/>
  <c r="AH18" i="1"/>
  <c r="BL18" i="1" s="1"/>
  <c r="AH19" i="1"/>
  <c r="AH20" i="1"/>
  <c r="BL20" i="1" s="1"/>
  <c r="AH12" i="1"/>
  <c r="BL8" i="1" l="1"/>
  <c r="BL11" i="1"/>
  <c r="BL19" i="1"/>
  <c r="BL16" i="1"/>
  <c r="BL12" i="1"/>
  <c r="AZ8" i="1"/>
  <c r="BK19" i="1"/>
  <c r="BK16" i="1"/>
  <c r="BK15" i="1"/>
  <c r="BK14" i="1"/>
  <c r="BK20" i="1"/>
  <c r="BK18" i="1"/>
  <c r="BK11" i="1"/>
  <c r="BK10" i="1"/>
  <c r="BK8" i="1"/>
  <c r="BK17" i="1"/>
  <c r="BK9" i="1"/>
  <c r="BJ22" i="1"/>
  <c r="BK12" i="1"/>
  <c r="BK13" i="1"/>
  <c r="AW19" i="1"/>
  <c r="AW13" i="1"/>
  <c r="AY17" i="1"/>
  <c r="AW16" i="1"/>
  <c r="AW15" i="1"/>
  <c r="AS14" i="1" a="1"/>
  <c r="AS14" i="1" s="1"/>
  <c r="AV19" i="1"/>
  <c r="AY18" i="1"/>
  <c r="AV16" i="1"/>
  <c r="AY15" i="1"/>
  <c r="AZ15" i="1"/>
  <c r="AY19" i="1"/>
  <c r="BI18" i="1"/>
  <c r="BI19" i="1"/>
  <c r="AY13" i="1"/>
  <c r="AZ17" i="1"/>
  <c r="AS20" i="1" a="1"/>
  <c r="AS20" i="1" s="1"/>
  <c r="AZ18" i="1"/>
  <c r="AY16" i="1"/>
  <c r="AZ19" i="1"/>
  <c r="AZ20" i="1"/>
  <c r="AY9" i="1"/>
  <c r="AZ9" i="1"/>
  <c r="AY8" i="1"/>
  <c r="AV17" i="1"/>
  <c r="AS17" i="1" a="1"/>
  <c r="AS17" i="1" s="1"/>
  <c r="BI16" i="1"/>
  <c r="BI17" i="1"/>
  <c r="AS19" i="1" a="1"/>
  <c r="AS19" i="1" s="1"/>
  <c r="BI20" i="1"/>
  <c r="AV20" i="1"/>
  <c r="AS16" i="1" a="1"/>
  <c r="AS16" i="1" s="1"/>
  <c r="AY14" i="1"/>
  <c r="AY12" i="1"/>
  <c r="AY11" i="1"/>
  <c r="AY10" i="1"/>
  <c r="AV14" i="1"/>
  <c r="AS15" i="1" a="1"/>
  <c r="AS15" i="1" s="1"/>
  <c r="AV15" i="1"/>
  <c r="BI15" i="1"/>
  <c r="BI14" i="1"/>
  <c r="BI13" i="1"/>
  <c r="BI12" i="1"/>
  <c r="BI11" i="1"/>
  <c r="BI10" i="1"/>
  <c r="BI9" i="1"/>
  <c r="BI8" i="1"/>
  <c r="J20" i="3"/>
  <c r="J21" i="3"/>
  <c r="J22" i="3"/>
  <c r="J23" i="3"/>
  <c r="J24" i="3"/>
  <c r="J25" i="3"/>
  <c r="J26" i="3"/>
  <c r="J27" i="3"/>
  <c r="J28" i="3"/>
  <c r="J29" i="3"/>
  <c r="J30" i="3"/>
  <c r="J31" i="3"/>
  <c r="J32" i="3"/>
  <c r="J33" i="3"/>
  <c r="J34" i="3"/>
  <c r="J35" i="3"/>
  <c r="J36" i="3"/>
  <c r="J37" i="3"/>
  <c r="J38" i="3"/>
  <c r="J39" i="3"/>
  <c r="J40" i="3"/>
  <c r="J41" i="3"/>
  <c r="J42" i="3"/>
  <c r="J43" i="3"/>
  <c r="J44" i="3"/>
  <c r="J45" i="3"/>
  <c r="J46" i="3"/>
  <c r="J47" i="3"/>
  <c r="J48" i="3"/>
  <c r="J49" i="3"/>
  <c r="J50" i="3"/>
  <c r="J51" i="3"/>
  <c r="J52" i="3"/>
  <c r="J53" i="3"/>
  <c r="J54" i="3"/>
  <c r="J55" i="3"/>
  <c r="J56" i="3"/>
  <c r="J57" i="3"/>
  <c r="J58" i="3"/>
  <c r="J59" i="3"/>
  <c r="J60" i="3"/>
  <c r="J61" i="3"/>
  <c r="J62" i="3"/>
  <c r="J63" i="3"/>
  <c r="J64" i="3"/>
  <c r="J65" i="3"/>
  <c r="J66" i="3"/>
  <c r="J67" i="3"/>
  <c r="J68" i="3"/>
  <c r="J69" i="3"/>
  <c r="J70" i="3"/>
  <c r="J71" i="3"/>
  <c r="J72" i="3"/>
  <c r="J73" i="3"/>
  <c r="J74" i="3"/>
  <c r="J75" i="3"/>
  <c r="J76" i="3"/>
  <c r="J77" i="3"/>
  <c r="J78" i="3"/>
  <c r="J79" i="3"/>
  <c r="J80" i="3"/>
  <c r="J81" i="3"/>
  <c r="J82" i="3"/>
  <c r="J83" i="3"/>
  <c r="J84" i="3"/>
  <c r="J85" i="3"/>
  <c r="J86" i="3"/>
  <c r="J87" i="3"/>
  <c r="J88" i="3"/>
  <c r="J89" i="3"/>
  <c r="J90" i="3"/>
  <c r="J91" i="3"/>
  <c r="J92" i="3"/>
  <c r="J93" i="3"/>
  <c r="J94" i="3"/>
  <c r="J95" i="3"/>
  <c r="J96" i="3"/>
  <c r="J97" i="3"/>
  <c r="J98" i="3"/>
  <c r="J99" i="3"/>
  <c r="J100" i="3"/>
  <c r="J101" i="3"/>
  <c r="J102" i="3"/>
  <c r="J103" i="3"/>
  <c r="J104" i="3"/>
  <c r="J105" i="3"/>
  <c r="J106" i="3"/>
  <c r="J107" i="3"/>
  <c r="J108" i="3"/>
  <c r="J109" i="3"/>
  <c r="J110" i="3"/>
  <c r="J111" i="3"/>
  <c r="J112" i="3"/>
  <c r="J113" i="3"/>
  <c r="J114" i="3"/>
  <c r="J115" i="3"/>
  <c r="J116" i="3"/>
  <c r="J117" i="3"/>
  <c r="J118" i="3"/>
  <c r="J119" i="3"/>
  <c r="J120" i="3"/>
  <c r="J121" i="3"/>
  <c r="J122" i="3"/>
  <c r="J123" i="3"/>
  <c r="J124" i="3"/>
  <c r="J125" i="3"/>
  <c r="J126" i="3"/>
  <c r="J127" i="3"/>
  <c r="J128" i="3"/>
  <c r="J129" i="3"/>
  <c r="J130" i="3"/>
  <c r="J131" i="3"/>
  <c r="J132" i="3"/>
  <c r="J133" i="3"/>
  <c r="J134" i="3"/>
  <c r="J135" i="3"/>
  <c r="J136" i="3"/>
  <c r="J137" i="3"/>
  <c r="J138" i="3"/>
  <c r="J139" i="3"/>
  <c r="J140" i="3"/>
  <c r="J141" i="3"/>
  <c r="J142" i="3"/>
  <c r="J143" i="3"/>
  <c r="J144" i="3"/>
  <c r="J145" i="3"/>
  <c r="J146" i="3"/>
  <c r="J147" i="3"/>
  <c r="J148" i="3"/>
  <c r="J149" i="3"/>
  <c r="J150" i="3"/>
  <c r="J151" i="3"/>
  <c r="J152" i="3"/>
  <c r="J153" i="3"/>
  <c r="J154" i="3"/>
  <c r="J155" i="3"/>
  <c r="J156" i="3"/>
  <c r="J157" i="3"/>
  <c r="J158" i="3"/>
  <c r="J159" i="3"/>
  <c r="J160" i="3"/>
  <c r="J161" i="3"/>
  <c r="J162" i="3"/>
  <c r="J163" i="3"/>
  <c r="J164" i="3"/>
  <c r="J165" i="3"/>
  <c r="J166" i="3"/>
  <c r="J167" i="3"/>
  <c r="J168" i="3"/>
  <c r="J169" i="3"/>
  <c r="J170" i="3"/>
  <c r="J171" i="3"/>
  <c r="J172" i="3"/>
  <c r="J173" i="3"/>
  <c r="J174" i="3"/>
  <c r="J175" i="3"/>
  <c r="J176" i="3"/>
  <c r="J177" i="3"/>
  <c r="J178" i="3"/>
  <c r="J179" i="3"/>
  <c r="J180" i="3"/>
  <c r="J181" i="3"/>
  <c r="J182" i="3"/>
  <c r="J183" i="3"/>
  <c r="J184" i="3"/>
  <c r="J185" i="3"/>
  <c r="J186" i="3"/>
  <c r="J187" i="3"/>
  <c r="J188" i="3"/>
  <c r="J189" i="3"/>
  <c r="J190" i="3"/>
  <c r="J191" i="3"/>
  <c r="J192" i="3"/>
  <c r="J193" i="3"/>
  <c r="J194" i="3"/>
  <c r="J195" i="3"/>
  <c r="J196" i="3"/>
  <c r="J197" i="3"/>
  <c r="J198" i="3"/>
  <c r="J199" i="3"/>
  <c r="J200" i="3"/>
  <c r="J201" i="3"/>
  <c r="J202" i="3"/>
  <c r="J203" i="3"/>
  <c r="J204" i="3"/>
  <c r="J205" i="3"/>
  <c r="J206" i="3"/>
  <c r="J207" i="3"/>
  <c r="J208" i="3"/>
  <c r="J209" i="3"/>
  <c r="J210" i="3"/>
  <c r="J211" i="3"/>
  <c r="J212" i="3"/>
  <c r="J213" i="3"/>
  <c r="J214" i="3"/>
  <c r="J215" i="3"/>
  <c r="J216" i="3"/>
  <c r="J217" i="3"/>
  <c r="J218" i="3"/>
  <c r="J219" i="3"/>
  <c r="J220" i="3"/>
  <c r="J221" i="3"/>
  <c r="J222" i="3"/>
  <c r="J223" i="3"/>
  <c r="J224" i="3"/>
  <c r="J225" i="3"/>
  <c r="J226" i="3"/>
  <c r="J227" i="3"/>
  <c r="J228" i="3"/>
  <c r="J229" i="3"/>
  <c r="J230" i="3"/>
  <c r="J231" i="3"/>
  <c r="J232" i="3"/>
  <c r="J233" i="3"/>
  <c r="J234" i="3"/>
  <c r="J235" i="3"/>
  <c r="J236" i="3"/>
  <c r="J237" i="3"/>
  <c r="J238" i="3"/>
  <c r="J239" i="3"/>
  <c r="J240" i="3"/>
  <c r="J241" i="3"/>
  <c r="J242" i="3"/>
  <c r="J243" i="3"/>
  <c r="J244" i="3"/>
  <c r="J245" i="3"/>
  <c r="J246" i="3"/>
  <c r="J247" i="3"/>
  <c r="J248" i="3"/>
  <c r="J249" i="3"/>
  <c r="J250" i="3"/>
  <c r="J251" i="3"/>
  <c r="J252" i="3"/>
  <c r="J253" i="3"/>
  <c r="J254" i="3"/>
  <c r="J255" i="3"/>
  <c r="J256" i="3"/>
  <c r="J257" i="3"/>
  <c r="J258" i="3"/>
  <c r="J259" i="3"/>
  <c r="J260" i="3"/>
  <c r="J261" i="3"/>
  <c r="J262" i="3"/>
  <c r="J263" i="3"/>
  <c r="J264" i="3"/>
  <c r="J265" i="3"/>
  <c r="J266" i="3"/>
  <c r="J267" i="3"/>
  <c r="J268" i="3"/>
  <c r="J269" i="3"/>
  <c r="J270" i="3"/>
  <c r="J271" i="3"/>
  <c r="J272" i="3"/>
  <c r="J273" i="3"/>
  <c r="J274" i="3"/>
  <c r="J275" i="3"/>
  <c r="J276" i="3"/>
  <c r="J277" i="3"/>
  <c r="J278" i="3"/>
  <c r="J279" i="3"/>
  <c r="J280" i="3"/>
  <c r="J281" i="3"/>
  <c r="J282" i="3"/>
  <c r="J283" i="3"/>
  <c r="J284" i="3"/>
  <c r="J285" i="3"/>
  <c r="J286" i="3"/>
  <c r="J287" i="3"/>
  <c r="J288" i="3"/>
  <c r="J289" i="3"/>
  <c r="J290" i="3"/>
  <c r="J291" i="3"/>
  <c r="J292" i="3"/>
  <c r="J293" i="3"/>
  <c r="J294" i="3"/>
  <c r="J295" i="3"/>
  <c r="J296" i="3"/>
  <c r="J297" i="3"/>
  <c r="J298" i="3"/>
  <c r="J299" i="3"/>
  <c r="J300" i="3"/>
  <c r="J301" i="3"/>
  <c r="J302" i="3"/>
  <c r="J303" i="3"/>
  <c r="J304" i="3"/>
  <c r="J305" i="3"/>
  <c r="J306" i="3"/>
  <c r="J307" i="3"/>
  <c r="J308" i="3"/>
  <c r="J309" i="3"/>
  <c r="J310" i="3"/>
  <c r="J311" i="3"/>
  <c r="J312" i="3"/>
  <c r="J313" i="3"/>
  <c r="J314" i="3"/>
  <c r="J315" i="3"/>
  <c r="J316" i="3"/>
  <c r="J317" i="3"/>
  <c r="J318" i="3"/>
  <c r="J319" i="3"/>
  <c r="J320" i="3"/>
  <c r="J321" i="3"/>
  <c r="J322" i="3"/>
  <c r="J323" i="3"/>
  <c r="J324" i="3"/>
  <c r="J325" i="3"/>
  <c r="J326" i="3"/>
  <c r="J327" i="3"/>
  <c r="J328" i="3"/>
  <c r="J329" i="3"/>
  <c r="J330" i="3"/>
  <c r="J331" i="3"/>
  <c r="J332" i="3"/>
  <c r="J333" i="3"/>
  <c r="J334" i="3"/>
  <c r="J335" i="3"/>
  <c r="J336" i="3"/>
  <c r="J337" i="3"/>
  <c r="J338" i="3"/>
  <c r="J339" i="3"/>
  <c r="J340" i="3"/>
  <c r="J341" i="3"/>
  <c r="J342" i="3"/>
  <c r="J343" i="3"/>
  <c r="J344" i="3"/>
  <c r="J345" i="3"/>
  <c r="J346" i="3"/>
  <c r="J347" i="3"/>
  <c r="J348" i="3"/>
  <c r="J349" i="3"/>
  <c r="J350" i="3"/>
  <c r="J351" i="3"/>
  <c r="J352" i="3"/>
  <c r="J353" i="3"/>
  <c r="J354" i="3"/>
  <c r="J355" i="3"/>
  <c r="J356" i="3"/>
  <c r="J357" i="3"/>
  <c r="J358" i="3"/>
  <c r="J359" i="3"/>
  <c r="J360" i="3"/>
  <c r="J361" i="3"/>
  <c r="J362" i="3"/>
  <c r="J363" i="3"/>
  <c r="J364" i="3"/>
  <c r="J365" i="3"/>
  <c r="J366" i="3"/>
  <c r="J367" i="3"/>
  <c r="J368" i="3"/>
  <c r="J369" i="3"/>
  <c r="J370" i="3"/>
  <c r="J371" i="3"/>
  <c r="J372" i="3"/>
  <c r="J373" i="3"/>
  <c r="J374" i="3"/>
  <c r="J375" i="3"/>
  <c r="J376" i="3"/>
  <c r="J377" i="3"/>
  <c r="J378" i="3"/>
  <c r="J379" i="3"/>
  <c r="J380" i="3"/>
  <c r="J381" i="3"/>
  <c r="J382" i="3"/>
  <c r="J383" i="3"/>
  <c r="J384" i="3"/>
  <c r="J385" i="3"/>
  <c r="J386" i="3"/>
  <c r="J387" i="3"/>
  <c r="J388" i="3"/>
  <c r="J389" i="3"/>
  <c r="J390" i="3"/>
  <c r="J391" i="3"/>
  <c r="J392" i="3"/>
  <c r="J393" i="3"/>
  <c r="J394" i="3"/>
  <c r="J395" i="3"/>
  <c r="J396" i="3"/>
  <c r="J397" i="3"/>
  <c r="J398" i="3"/>
  <c r="J399" i="3"/>
  <c r="J400" i="3"/>
  <c r="J401" i="3"/>
  <c r="J402" i="3"/>
  <c r="J403" i="3"/>
  <c r="J404" i="3"/>
  <c r="J405" i="3"/>
  <c r="J406" i="3"/>
  <c r="J407" i="3"/>
  <c r="J408" i="3"/>
  <c r="J409" i="3"/>
  <c r="J410" i="3"/>
  <c r="J411" i="3"/>
  <c r="J412" i="3"/>
  <c r="J413" i="3"/>
  <c r="J414" i="3"/>
  <c r="J415" i="3"/>
  <c r="J416" i="3"/>
  <c r="J417" i="3"/>
  <c r="J418" i="3"/>
  <c r="J419" i="3"/>
  <c r="J420" i="3"/>
  <c r="J421" i="3"/>
  <c r="J422" i="3"/>
  <c r="J423" i="3"/>
  <c r="J424" i="3"/>
  <c r="J425" i="3"/>
  <c r="J426" i="3"/>
  <c r="J427" i="3"/>
  <c r="J428" i="3"/>
  <c r="J429" i="3"/>
  <c r="J430" i="3"/>
  <c r="J431" i="3"/>
  <c r="J432" i="3"/>
  <c r="J433" i="3"/>
  <c r="J434" i="3"/>
  <c r="J435" i="3"/>
  <c r="J436" i="3"/>
  <c r="J437" i="3"/>
  <c r="J438" i="3"/>
  <c r="J439" i="3"/>
  <c r="J440" i="3"/>
  <c r="J441" i="3"/>
  <c r="J442" i="3"/>
  <c r="J443" i="3"/>
  <c r="J444" i="3"/>
  <c r="J445" i="3"/>
  <c r="J446" i="3"/>
  <c r="J447" i="3"/>
  <c r="J448" i="3"/>
  <c r="J449" i="3"/>
  <c r="J450" i="3"/>
  <c r="J451" i="3"/>
  <c r="J452" i="3"/>
  <c r="J453" i="3"/>
  <c r="J454" i="3"/>
  <c r="J455" i="3"/>
  <c r="J456" i="3"/>
  <c r="J457" i="3"/>
  <c r="J458" i="3"/>
  <c r="J459" i="3"/>
  <c r="J460" i="3"/>
  <c r="J461" i="3"/>
  <c r="J462" i="3"/>
  <c r="J463" i="3"/>
  <c r="J464" i="3"/>
  <c r="J465" i="3"/>
  <c r="J466" i="3"/>
  <c r="J467" i="3"/>
  <c r="J468" i="3"/>
  <c r="J469" i="3"/>
  <c r="J470" i="3"/>
  <c r="J471" i="3"/>
  <c r="J472" i="3"/>
  <c r="J473" i="3"/>
  <c r="J474" i="3"/>
  <c r="J475" i="3"/>
  <c r="J476" i="3"/>
  <c r="J477" i="3"/>
  <c r="J478" i="3"/>
  <c r="J479" i="3"/>
  <c r="J480" i="3"/>
  <c r="J481" i="3"/>
  <c r="J482" i="3"/>
  <c r="J483" i="3"/>
  <c r="J484" i="3"/>
  <c r="J485" i="3"/>
  <c r="J486" i="3"/>
  <c r="J487" i="3"/>
  <c r="J488" i="3"/>
  <c r="J489" i="3"/>
  <c r="J490" i="3"/>
  <c r="J491" i="3"/>
  <c r="J492" i="3"/>
  <c r="J493" i="3"/>
  <c r="J494" i="3"/>
  <c r="J495" i="3"/>
  <c r="J496" i="3"/>
  <c r="J497" i="3"/>
  <c r="J498" i="3"/>
  <c r="J499" i="3"/>
  <c r="J500" i="3"/>
  <c r="J501" i="3"/>
  <c r="J502" i="3"/>
  <c r="J503" i="3"/>
  <c r="J504" i="3"/>
  <c r="J505" i="3"/>
  <c r="J506" i="3"/>
  <c r="J507" i="3"/>
  <c r="J508" i="3"/>
  <c r="J509" i="3"/>
  <c r="J510" i="3"/>
  <c r="J511" i="3"/>
  <c r="J512" i="3"/>
  <c r="J513" i="3"/>
  <c r="J514" i="3"/>
  <c r="J515" i="3"/>
  <c r="J516" i="3"/>
  <c r="J517" i="3"/>
  <c r="J518" i="3"/>
  <c r="J519" i="3"/>
  <c r="J520" i="3"/>
  <c r="J521" i="3"/>
  <c r="J522" i="3"/>
  <c r="J523" i="3"/>
  <c r="J524" i="3"/>
  <c r="J525" i="3"/>
  <c r="J526" i="3"/>
  <c r="J527" i="3"/>
  <c r="J528" i="3"/>
  <c r="J529" i="3"/>
  <c r="J530" i="3"/>
  <c r="J531" i="3"/>
  <c r="J532" i="3"/>
  <c r="J533" i="3"/>
  <c r="J534" i="3"/>
  <c r="J535" i="3"/>
  <c r="J536" i="3"/>
  <c r="J537" i="3"/>
  <c r="J538" i="3"/>
  <c r="J539" i="3"/>
  <c r="J540" i="3"/>
  <c r="J541" i="3"/>
  <c r="J542" i="3"/>
  <c r="J543" i="3"/>
  <c r="J544" i="3"/>
  <c r="J545" i="3"/>
  <c r="J546" i="3"/>
  <c r="J547" i="3"/>
  <c r="J548" i="3"/>
  <c r="J549" i="3"/>
  <c r="J550" i="3"/>
  <c r="J551" i="3"/>
  <c r="J552" i="3"/>
  <c r="J553" i="3"/>
  <c r="J554" i="3"/>
  <c r="J555" i="3"/>
  <c r="J556" i="3"/>
  <c r="J557" i="3"/>
  <c r="J558" i="3"/>
  <c r="J559" i="3"/>
  <c r="J560" i="3"/>
  <c r="J561" i="3"/>
  <c r="J562" i="3"/>
  <c r="J563" i="3"/>
  <c r="J564" i="3"/>
  <c r="J565" i="3"/>
  <c r="J566" i="3"/>
  <c r="J567" i="3"/>
  <c r="J568" i="3"/>
  <c r="J569" i="3"/>
  <c r="J570" i="3"/>
  <c r="J571" i="3"/>
  <c r="J572" i="3"/>
  <c r="J573" i="3"/>
  <c r="J574" i="3"/>
  <c r="J575" i="3"/>
  <c r="J576" i="3"/>
  <c r="J577" i="3"/>
  <c r="J578" i="3"/>
  <c r="J579" i="3"/>
  <c r="J580" i="3"/>
  <c r="J581" i="3"/>
  <c r="J582" i="3"/>
  <c r="J583" i="3"/>
  <c r="J584" i="3"/>
  <c r="J585" i="3"/>
  <c r="J586" i="3"/>
  <c r="J587" i="3"/>
  <c r="J588" i="3"/>
  <c r="J589" i="3"/>
  <c r="J590" i="3"/>
  <c r="J591" i="3"/>
  <c r="J592" i="3"/>
  <c r="J593" i="3"/>
  <c r="J594" i="3"/>
  <c r="J595" i="3"/>
  <c r="J596" i="3"/>
  <c r="J597" i="3"/>
  <c r="J598" i="3"/>
  <c r="J599" i="3"/>
  <c r="J600" i="3"/>
  <c r="J601" i="3"/>
  <c r="J602" i="3"/>
  <c r="J603" i="3"/>
  <c r="J604" i="3"/>
  <c r="J605" i="3"/>
  <c r="J606" i="3"/>
  <c r="J607" i="3"/>
  <c r="J608" i="3"/>
  <c r="J609" i="3"/>
  <c r="J610" i="3"/>
  <c r="J611" i="3"/>
  <c r="J612" i="3"/>
  <c r="J613" i="3"/>
  <c r="J614" i="3"/>
  <c r="J615" i="3"/>
  <c r="J616" i="3"/>
  <c r="J617" i="3"/>
  <c r="J618" i="3"/>
  <c r="J619" i="3"/>
  <c r="J620" i="3"/>
  <c r="J621" i="3"/>
  <c r="J622" i="3"/>
  <c r="J623" i="3"/>
  <c r="J624" i="3"/>
  <c r="J625" i="3"/>
  <c r="J626" i="3"/>
  <c r="J627" i="3"/>
  <c r="J628" i="3"/>
  <c r="J629" i="3"/>
  <c r="J630" i="3"/>
  <c r="J631" i="3"/>
  <c r="J632" i="3"/>
  <c r="J633" i="3"/>
  <c r="J634" i="3"/>
  <c r="J635" i="3"/>
  <c r="J636" i="3"/>
  <c r="J637" i="3"/>
  <c r="J638" i="3"/>
  <c r="J639" i="3"/>
  <c r="J640" i="3"/>
  <c r="J641" i="3"/>
  <c r="J642" i="3"/>
  <c r="J643" i="3"/>
  <c r="J644" i="3"/>
  <c r="J645" i="3"/>
  <c r="J646" i="3"/>
  <c r="J647" i="3"/>
  <c r="J648" i="3"/>
  <c r="J649" i="3"/>
  <c r="J650" i="3"/>
  <c r="J651" i="3"/>
  <c r="J652" i="3"/>
  <c r="J653" i="3"/>
  <c r="J654" i="3"/>
  <c r="J655" i="3"/>
  <c r="J656" i="3"/>
  <c r="J657" i="3"/>
  <c r="J658" i="3"/>
  <c r="J659" i="3"/>
  <c r="J660" i="3"/>
  <c r="J661" i="3"/>
  <c r="J662" i="3"/>
  <c r="J663" i="3"/>
  <c r="J664" i="3"/>
  <c r="J665" i="3"/>
  <c r="J666" i="3"/>
  <c r="J667" i="3"/>
  <c r="J668" i="3"/>
  <c r="J669" i="3"/>
  <c r="J670" i="3"/>
  <c r="J671" i="3"/>
  <c r="J672" i="3"/>
  <c r="J673" i="3"/>
  <c r="J674" i="3"/>
  <c r="J675" i="3"/>
  <c r="J676" i="3"/>
  <c r="J677" i="3"/>
  <c r="J678" i="3"/>
  <c r="J679" i="3"/>
  <c r="J680" i="3"/>
  <c r="J681" i="3"/>
  <c r="J682" i="3"/>
  <c r="J683" i="3"/>
  <c r="J684" i="3"/>
  <c r="J685" i="3"/>
  <c r="J686" i="3"/>
  <c r="J687" i="3"/>
  <c r="J688" i="3"/>
  <c r="J689" i="3"/>
  <c r="J690" i="3"/>
  <c r="J691" i="3"/>
  <c r="J692" i="3"/>
  <c r="J693" i="3"/>
  <c r="J694" i="3"/>
  <c r="J695" i="3"/>
  <c r="J696" i="3"/>
  <c r="J697" i="3"/>
  <c r="J698" i="3"/>
  <c r="J699" i="3"/>
  <c r="J700" i="3"/>
  <c r="J701" i="3"/>
  <c r="J702" i="3"/>
  <c r="J703" i="3"/>
  <c r="J704" i="3"/>
  <c r="J705" i="3"/>
  <c r="J706" i="3"/>
  <c r="J707" i="3"/>
  <c r="J708" i="3"/>
  <c r="J709" i="3"/>
  <c r="J710" i="3"/>
  <c r="J711" i="3"/>
  <c r="J712" i="3"/>
  <c r="J713" i="3"/>
  <c r="J714" i="3"/>
  <c r="J715" i="3"/>
  <c r="J716" i="3"/>
  <c r="J717" i="3"/>
  <c r="J718" i="3"/>
  <c r="J719" i="3"/>
  <c r="J720" i="3"/>
  <c r="J721" i="3"/>
  <c r="J722" i="3"/>
  <c r="J723" i="3"/>
  <c r="J724" i="3"/>
  <c r="J725" i="3"/>
  <c r="J726" i="3"/>
  <c r="J727" i="3"/>
  <c r="J728" i="3"/>
  <c r="J729" i="3"/>
  <c r="J730" i="3"/>
  <c r="J731" i="3"/>
  <c r="J732" i="3"/>
  <c r="J733" i="3"/>
  <c r="J734" i="3"/>
  <c r="J735" i="3"/>
  <c r="J736" i="3"/>
  <c r="J737" i="3"/>
  <c r="J738" i="3"/>
  <c r="J739" i="3"/>
  <c r="J740" i="3"/>
  <c r="J741" i="3"/>
  <c r="J742" i="3"/>
  <c r="J743" i="3"/>
  <c r="J744" i="3"/>
  <c r="J745" i="3"/>
  <c r="J746" i="3"/>
  <c r="J747" i="3"/>
  <c r="J748" i="3"/>
  <c r="J749" i="3"/>
  <c r="J750" i="3"/>
  <c r="J751" i="3"/>
  <c r="J752" i="3"/>
  <c r="J753" i="3"/>
  <c r="J754" i="3"/>
  <c r="J755" i="3"/>
  <c r="J756" i="3"/>
  <c r="J757" i="3"/>
  <c r="J758" i="3"/>
  <c r="J759" i="3"/>
  <c r="J760" i="3"/>
  <c r="J761" i="3"/>
  <c r="J762" i="3"/>
  <c r="J763" i="3"/>
  <c r="J764" i="3"/>
  <c r="J765" i="3"/>
  <c r="J766" i="3"/>
  <c r="J767" i="3"/>
  <c r="J768" i="3"/>
  <c r="J769" i="3"/>
  <c r="J770" i="3"/>
  <c r="J771" i="3"/>
  <c r="J772" i="3"/>
  <c r="J773" i="3"/>
  <c r="J774" i="3"/>
  <c r="J775" i="3"/>
  <c r="J776" i="3"/>
  <c r="J777" i="3"/>
  <c r="J778" i="3"/>
  <c r="J779" i="3"/>
  <c r="J780" i="3"/>
  <c r="J781" i="3"/>
  <c r="J782" i="3"/>
  <c r="J783" i="3"/>
  <c r="J784" i="3"/>
  <c r="J785" i="3"/>
  <c r="J786" i="3"/>
  <c r="J787" i="3"/>
  <c r="J788" i="3"/>
  <c r="J789" i="3"/>
  <c r="J790" i="3"/>
  <c r="J791" i="3"/>
  <c r="J792" i="3"/>
  <c r="J793" i="3"/>
  <c r="J794" i="3"/>
  <c r="J795" i="3"/>
  <c r="J796" i="3"/>
  <c r="J797" i="3"/>
  <c r="J798" i="3"/>
  <c r="J799" i="3"/>
  <c r="J800" i="3"/>
  <c r="J801" i="3"/>
  <c r="J802" i="3"/>
  <c r="J803" i="3"/>
  <c r="J804" i="3"/>
  <c r="J805" i="3"/>
  <c r="J806" i="3"/>
  <c r="J807" i="3"/>
  <c r="J808" i="3"/>
  <c r="J809" i="3"/>
  <c r="J810" i="3"/>
  <c r="J811" i="3"/>
  <c r="J812" i="3"/>
  <c r="J813" i="3"/>
  <c r="J814" i="3"/>
  <c r="J815" i="3"/>
  <c r="J816" i="3"/>
  <c r="J817" i="3"/>
  <c r="J818" i="3"/>
  <c r="J819" i="3"/>
  <c r="J820" i="3"/>
  <c r="J821" i="3"/>
  <c r="J822" i="3"/>
  <c r="J823" i="3"/>
  <c r="J824" i="3"/>
  <c r="J825" i="3"/>
  <c r="J826" i="3"/>
  <c r="J827" i="3"/>
  <c r="J828" i="3"/>
  <c r="J829" i="3"/>
  <c r="J830" i="3"/>
  <c r="J831" i="3"/>
  <c r="J832" i="3"/>
  <c r="J833" i="3"/>
  <c r="J834" i="3"/>
  <c r="J835" i="3"/>
  <c r="J836" i="3"/>
  <c r="J837" i="3"/>
  <c r="J838" i="3"/>
  <c r="J839" i="3"/>
  <c r="J840" i="3"/>
  <c r="J841" i="3"/>
  <c r="J842" i="3"/>
  <c r="J843" i="3"/>
  <c r="J844" i="3"/>
  <c r="J845" i="3"/>
  <c r="J846" i="3"/>
  <c r="J847" i="3"/>
  <c r="J848" i="3"/>
  <c r="J849" i="3"/>
  <c r="J850" i="3"/>
  <c r="J851" i="3"/>
  <c r="J852" i="3"/>
  <c r="J853" i="3"/>
  <c r="J854" i="3"/>
  <c r="J855" i="3"/>
  <c r="J856" i="3"/>
  <c r="J857" i="3"/>
  <c r="J858" i="3"/>
  <c r="J859" i="3"/>
  <c r="J860" i="3"/>
  <c r="J861" i="3"/>
  <c r="J862" i="3"/>
  <c r="J863" i="3"/>
  <c r="J864" i="3"/>
  <c r="J865" i="3"/>
  <c r="J866" i="3"/>
  <c r="J867" i="3"/>
  <c r="J868" i="3"/>
  <c r="J869" i="3"/>
  <c r="J870" i="3"/>
  <c r="J871" i="3"/>
  <c r="J872" i="3"/>
  <c r="J873" i="3"/>
  <c r="J874" i="3"/>
  <c r="J875" i="3"/>
  <c r="J876" i="3"/>
  <c r="J877" i="3"/>
  <c r="J878" i="3"/>
  <c r="J879" i="3"/>
  <c r="J880" i="3"/>
  <c r="J881" i="3"/>
  <c r="J882" i="3"/>
  <c r="J883" i="3"/>
  <c r="J884" i="3"/>
  <c r="J885" i="3"/>
  <c r="J886" i="3"/>
  <c r="J887" i="3"/>
  <c r="J888" i="3"/>
  <c r="J889" i="3"/>
  <c r="J890" i="3"/>
  <c r="J891" i="3"/>
  <c r="J892" i="3"/>
  <c r="J893" i="3"/>
  <c r="J894" i="3"/>
  <c r="J895" i="3"/>
  <c r="J896" i="3"/>
  <c r="J897" i="3"/>
  <c r="J898" i="3"/>
  <c r="J899" i="3"/>
  <c r="J900" i="3"/>
  <c r="J901" i="3"/>
  <c r="J902" i="3"/>
  <c r="J903" i="3"/>
  <c r="J904" i="3"/>
  <c r="J905" i="3"/>
  <c r="J906" i="3"/>
  <c r="J907" i="3"/>
  <c r="J908" i="3"/>
  <c r="J909" i="3"/>
  <c r="J910" i="3"/>
  <c r="J911" i="3"/>
  <c r="J912" i="3"/>
  <c r="J913" i="3"/>
  <c r="J914" i="3"/>
  <c r="J915" i="3"/>
  <c r="J916" i="3"/>
  <c r="J917" i="3"/>
  <c r="J918" i="3"/>
  <c r="J919" i="3"/>
  <c r="J920" i="3"/>
  <c r="J921" i="3"/>
  <c r="J922" i="3"/>
  <c r="J923" i="3"/>
  <c r="J924" i="3"/>
  <c r="J925" i="3"/>
  <c r="J926" i="3"/>
  <c r="J927" i="3"/>
  <c r="J928" i="3"/>
  <c r="J929" i="3"/>
  <c r="J930" i="3"/>
  <c r="J931" i="3"/>
  <c r="J932" i="3"/>
  <c r="J933" i="3"/>
  <c r="J934" i="3"/>
  <c r="J935" i="3"/>
  <c r="J936" i="3"/>
  <c r="J937" i="3"/>
  <c r="J938" i="3"/>
  <c r="J939" i="3"/>
  <c r="J940" i="3"/>
  <c r="J941" i="3"/>
  <c r="J942" i="3"/>
  <c r="J943" i="3"/>
  <c r="J944" i="3"/>
  <c r="J945" i="3"/>
  <c r="J946" i="3"/>
  <c r="J947" i="3"/>
  <c r="J948" i="3"/>
  <c r="J949" i="3"/>
  <c r="J950" i="3"/>
  <c r="J951" i="3"/>
  <c r="J952" i="3"/>
  <c r="J953" i="3"/>
  <c r="J954" i="3"/>
  <c r="J955" i="3"/>
  <c r="J956" i="3"/>
  <c r="J957" i="3"/>
  <c r="J958" i="3"/>
  <c r="J959" i="3"/>
  <c r="J960" i="3"/>
  <c r="J961" i="3"/>
  <c r="J962" i="3"/>
  <c r="J963" i="3"/>
  <c r="J964" i="3"/>
  <c r="J965" i="3"/>
  <c r="J966" i="3"/>
  <c r="J967" i="3"/>
  <c r="J968" i="3"/>
  <c r="J969" i="3"/>
  <c r="J970" i="3"/>
  <c r="J971" i="3"/>
  <c r="J972" i="3"/>
  <c r="J973" i="3"/>
  <c r="J974" i="3"/>
  <c r="J975" i="3"/>
  <c r="J976" i="3"/>
  <c r="J977" i="3"/>
  <c r="J978" i="3"/>
  <c r="J979" i="3"/>
  <c r="J980" i="3"/>
  <c r="J981" i="3"/>
  <c r="J982" i="3"/>
  <c r="J983" i="3"/>
  <c r="J984" i="3"/>
  <c r="J985" i="3"/>
  <c r="J986" i="3"/>
  <c r="J987" i="3"/>
  <c r="J988" i="3"/>
  <c r="J989" i="3"/>
  <c r="J990" i="3"/>
  <c r="J991" i="3"/>
  <c r="J992" i="3"/>
  <c r="J993" i="3"/>
  <c r="J994" i="3"/>
  <c r="J995" i="3"/>
  <c r="J996" i="3"/>
  <c r="J997" i="3"/>
  <c r="J998" i="3"/>
  <c r="J999" i="3"/>
  <c r="J1000" i="3"/>
  <c r="J1001" i="3"/>
  <c r="J1002" i="3"/>
  <c r="J1003" i="3"/>
  <c r="J1004" i="3"/>
  <c r="J1005" i="3"/>
  <c r="J1006" i="3"/>
  <c r="J1007" i="3"/>
  <c r="J1008" i="3"/>
  <c r="J1009" i="3"/>
  <c r="J1010" i="3"/>
  <c r="J1011" i="3"/>
  <c r="J1012" i="3"/>
  <c r="J1013" i="3"/>
  <c r="J1014" i="3"/>
  <c r="J1015" i="3"/>
  <c r="J1016" i="3"/>
  <c r="J1017" i="3"/>
  <c r="J1018" i="3"/>
  <c r="J1019" i="3"/>
  <c r="J1020" i="3"/>
  <c r="J1021" i="3"/>
  <c r="J1022" i="3"/>
  <c r="J1023" i="3"/>
  <c r="J1024" i="3"/>
  <c r="J1025" i="3"/>
  <c r="J1026" i="3"/>
  <c r="J1027" i="3"/>
  <c r="J1028" i="3"/>
  <c r="J1029" i="3"/>
  <c r="J1030" i="3"/>
  <c r="J1031" i="3"/>
  <c r="J1032" i="3"/>
  <c r="J1033" i="3"/>
  <c r="J1034" i="3"/>
  <c r="J1035" i="3"/>
  <c r="J1036" i="3"/>
  <c r="J1037" i="3"/>
  <c r="J1038" i="3"/>
  <c r="J1039" i="3"/>
  <c r="J1040" i="3"/>
  <c r="J1041" i="3"/>
  <c r="J1042" i="3"/>
  <c r="J1043" i="3"/>
  <c r="J1044" i="3"/>
  <c r="J1045" i="3"/>
  <c r="J1046" i="3"/>
  <c r="J1047" i="3"/>
  <c r="J1048" i="3"/>
  <c r="J1049" i="3"/>
  <c r="J1050" i="3"/>
  <c r="J1051" i="3"/>
  <c r="J1052" i="3"/>
  <c r="J1053" i="3"/>
  <c r="J1054" i="3"/>
  <c r="J1055" i="3"/>
  <c r="J1056" i="3"/>
  <c r="J1057" i="3"/>
  <c r="J1058" i="3"/>
  <c r="J1059" i="3"/>
  <c r="J1060" i="3"/>
  <c r="J1061" i="3"/>
  <c r="J1062" i="3"/>
  <c r="J1063" i="3"/>
  <c r="J1064" i="3"/>
  <c r="J1065" i="3"/>
  <c r="J1066" i="3"/>
  <c r="J1067" i="3"/>
  <c r="J1068" i="3"/>
  <c r="J1069" i="3"/>
  <c r="J1070" i="3"/>
  <c r="J1071" i="3"/>
  <c r="J1072" i="3"/>
  <c r="J1073" i="3"/>
  <c r="J1074" i="3"/>
  <c r="J1075" i="3"/>
  <c r="J1076" i="3"/>
  <c r="J1077" i="3"/>
  <c r="J1078" i="3"/>
  <c r="J1079" i="3"/>
  <c r="J1080" i="3"/>
  <c r="J1081" i="3"/>
  <c r="J1082" i="3"/>
  <c r="J1083" i="3"/>
  <c r="J1084" i="3"/>
  <c r="J1085" i="3"/>
  <c r="J1086" i="3"/>
  <c r="J1087" i="3"/>
  <c r="J1088" i="3"/>
  <c r="J1089" i="3"/>
  <c r="J1090" i="3"/>
  <c r="J1091" i="3"/>
  <c r="J1092" i="3"/>
  <c r="J1093" i="3"/>
  <c r="J1094" i="3"/>
  <c r="J1095" i="3"/>
  <c r="J1096" i="3"/>
  <c r="J1097" i="3"/>
  <c r="J1098" i="3"/>
  <c r="J1099" i="3"/>
  <c r="J1100" i="3"/>
  <c r="J1101" i="3"/>
  <c r="J1102" i="3"/>
  <c r="J1103" i="3"/>
  <c r="J1104" i="3"/>
  <c r="J1105" i="3"/>
  <c r="J1106" i="3"/>
  <c r="J1107" i="3"/>
  <c r="J1108" i="3"/>
  <c r="J1109" i="3"/>
  <c r="J1110" i="3"/>
  <c r="J1111" i="3"/>
  <c r="J1112" i="3"/>
  <c r="J1113" i="3"/>
  <c r="J1114" i="3"/>
  <c r="J1115" i="3"/>
  <c r="J1116" i="3"/>
  <c r="J1117" i="3"/>
  <c r="J1118" i="3"/>
  <c r="J1119" i="3"/>
  <c r="J1120" i="3"/>
  <c r="J1121" i="3"/>
  <c r="J1122" i="3"/>
  <c r="J1123" i="3"/>
  <c r="J1124" i="3"/>
  <c r="J1125" i="3"/>
  <c r="J1126" i="3"/>
  <c r="J1127" i="3"/>
  <c r="J1128" i="3"/>
  <c r="J1129" i="3"/>
  <c r="J1130" i="3"/>
  <c r="J1131" i="3"/>
  <c r="J1132" i="3"/>
  <c r="J1133" i="3"/>
  <c r="J1134" i="3"/>
  <c r="J1135" i="3"/>
  <c r="J1136" i="3"/>
  <c r="J1137" i="3"/>
  <c r="J1138" i="3"/>
  <c r="J1139" i="3"/>
  <c r="J1140" i="3"/>
  <c r="J1141" i="3"/>
  <c r="J1142" i="3"/>
  <c r="J1143" i="3"/>
  <c r="J1144" i="3"/>
  <c r="J1145" i="3"/>
  <c r="J1146" i="3"/>
  <c r="J1147" i="3"/>
  <c r="J1148" i="3"/>
  <c r="J1149" i="3"/>
  <c r="J1150" i="3"/>
  <c r="J1151" i="3"/>
  <c r="J1152" i="3"/>
  <c r="J1153" i="3"/>
  <c r="J1154" i="3"/>
  <c r="J1155" i="3"/>
  <c r="J1156" i="3"/>
  <c r="J1157" i="3"/>
  <c r="J1158" i="3"/>
  <c r="J1159" i="3"/>
  <c r="J1160" i="3"/>
  <c r="J1161" i="3"/>
  <c r="J1162" i="3"/>
  <c r="J1163" i="3"/>
  <c r="J1164" i="3"/>
  <c r="J1165" i="3"/>
  <c r="J1166" i="3"/>
  <c r="J1167" i="3"/>
  <c r="J1168" i="3"/>
  <c r="J1169" i="3"/>
  <c r="J1170" i="3"/>
  <c r="J1171" i="3"/>
  <c r="J1172" i="3"/>
  <c r="J1173" i="3"/>
  <c r="J1174" i="3"/>
  <c r="J1175" i="3"/>
  <c r="J1176" i="3"/>
  <c r="J1177" i="3"/>
  <c r="J1178" i="3"/>
  <c r="J1179" i="3"/>
  <c r="J1180" i="3"/>
  <c r="J1181" i="3"/>
  <c r="J1182" i="3"/>
  <c r="J1183" i="3"/>
  <c r="J1184" i="3"/>
  <c r="J1185" i="3"/>
  <c r="J1186" i="3"/>
  <c r="J1187" i="3"/>
  <c r="J1188" i="3"/>
  <c r="J1189" i="3"/>
  <c r="J1190" i="3"/>
  <c r="J1191" i="3"/>
  <c r="J1192" i="3"/>
  <c r="J1193" i="3"/>
  <c r="J1194" i="3"/>
  <c r="J1195" i="3"/>
  <c r="J1196" i="3"/>
  <c r="J1197" i="3"/>
  <c r="J1198" i="3"/>
  <c r="J1199" i="3"/>
  <c r="J1200" i="3"/>
  <c r="J1201" i="3"/>
  <c r="J1202" i="3"/>
  <c r="J1203" i="3"/>
  <c r="J1204" i="3"/>
  <c r="J1205" i="3"/>
  <c r="J1206" i="3"/>
  <c r="J1207" i="3"/>
  <c r="J1208" i="3"/>
  <c r="J1209" i="3"/>
  <c r="J1210" i="3"/>
  <c r="J1211" i="3"/>
  <c r="J1212" i="3"/>
  <c r="J1213" i="3"/>
  <c r="J1214" i="3"/>
  <c r="J1215" i="3"/>
  <c r="J1216" i="3"/>
  <c r="J1217" i="3"/>
  <c r="J1218" i="3"/>
  <c r="J1219" i="3"/>
  <c r="J1220" i="3"/>
  <c r="J1221" i="3"/>
  <c r="J1222" i="3"/>
  <c r="J1223" i="3"/>
  <c r="J1224" i="3"/>
  <c r="J1225" i="3"/>
  <c r="J1226" i="3"/>
  <c r="J1227" i="3"/>
  <c r="J1228" i="3"/>
  <c r="J1229" i="3"/>
  <c r="J1230" i="3"/>
  <c r="J1231" i="3"/>
  <c r="J1232" i="3"/>
  <c r="J1233" i="3"/>
  <c r="J1234" i="3"/>
  <c r="J1235" i="3"/>
  <c r="J1236" i="3"/>
  <c r="J1237" i="3"/>
  <c r="J1238" i="3"/>
  <c r="J1239" i="3"/>
  <c r="J1240" i="3"/>
  <c r="J1241" i="3"/>
  <c r="J1242" i="3"/>
  <c r="J1243" i="3"/>
  <c r="J1244" i="3"/>
  <c r="J1245" i="3"/>
  <c r="J1246" i="3"/>
  <c r="J1247" i="3"/>
  <c r="J1248" i="3"/>
  <c r="J1249" i="3"/>
  <c r="J1250" i="3"/>
  <c r="J1251" i="3"/>
  <c r="J1252" i="3"/>
  <c r="J1253" i="3"/>
  <c r="J1254" i="3"/>
  <c r="J1255" i="3"/>
  <c r="J1256" i="3"/>
  <c r="J1257" i="3"/>
  <c r="J1258" i="3"/>
  <c r="J1259" i="3"/>
  <c r="J1260" i="3"/>
  <c r="J1261" i="3"/>
  <c r="J1262" i="3"/>
  <c r="J1263" i="3"/>
  <c r="J1264" i="3"/>
  <c r="J1265" i="3"/>
  <c r="J1266" i="3"/>
  <c r="J1267" i="3"/>
  <c r="J1268" i="3"/>
  <c r="J1269" i="3"/>
  <c r="J1270" i="3"/>
  <c r="J1271" i="3"/>
  <c r="J1272" i="3"/>
  <c r="J1273" i="3"/>
  <c r="J1274" i="3"/>
  <c r="J1275" i="3"/>
  <c r="J1276" i="3"/>
  <c r="J1277" i="3"/>
  <c r="J1278" i="3"/>
  <c r="J1279" i="3"/>
  <c r="J1280" i="3"/>
  <c r="J1281" i="3"/>
  <c r="J1282" i="3"/>
  <c r="J1283" i="3"/>
  <c r="J1284" i="3"/>
  <c r="J1285" i="3"/>
  <c r="J1286" i="3"/>
  <c r="J1287" i="3"/>
  <c r="J1288" i="3"/>
  <c r="J1289" i="3"/>
  <c r="J1290" i="3"/>
  <c r="J1291" i="3"/>
  <c r="J1292" i="3"/>
  <c r="J1293" i="3"/>
  <c r="J1294" i="3"/>
  <c r="J1295" i="3"/>
  <c r="J1296" i="3"/>
  <c r="J1297" i="3"/>
  <c r="J1298" i="3"/>
  <c r="J1299" i="3"/>
  <c r="J1300" i="3"/>
  <c r="J1301" i="3"/>
  <c r="J1302" i="3"/>
  <c r="J1303" i="3"/>
  <c r="J1304" i="3"/>
  <c r="J1305" i="3"/>
  <c r="J1306" i="3"/>
  <c r="J1307" i="3"/>
  <c r="J1308" i="3"/>
  <c r="J1309" i="3"/>
  <c r="J1310" i="3"/>
  <c r="J1311" i="3"/>
  <c r="J1312" i="3"/>
  <c r="J1313" i="3"/>
  <c r="J1314" i="3"/>
  <c r="J1315" i="3"/>
  <c r="J1316" i="3"/>
  <c r="J1317" i="3"/>
  <c r="J1318" i="3"/>
  <c r="J1319" i="3"/>
  <c r="J1320" i="3"/>
  <c r="J1321" i="3"/>
  <c r="J1322" i="3"/>
  <c r="J1323" i="3"/>
  <c r="J1324" i="3"/>
  <c r="J1325" i="3"/>
  <c r="J1326" i="3"/>
  <c r="J1327" i="3"/>
  <c r="J1328" i="3"/>
  <c r="J1329" i="3"/>
  <c r="J1330" i="3"/>
  <c r="J1331" i="3"/>
  <c r="J1332" i="3"/>
  <c r="J1333" i="3"/>
  <c r="J1334" i="3"/>
  <c r="J1335" i="3"/>
  <c r="J1336" i="3"/>
  <c r="J1337" i="3"/>
  <c r="J1338" i="3"/>
  <c r="J1339" i="3"/>
  <c r="J1340" i="3"/>
  <c r="J1341" i="3"/>
  <c r="J1342" i="3"/>
  <c r="J1343" i="3"/>
  <c r="J1344" i="3"/>
  <c r="J1345" i="3"/>
  <c r="J1346" i="3"/>
  <c r="J1347" i="3"/>
  <c r="J1348" i="3"/>
  <c r="J1349" i="3"/>
  <c r="J1350" i="3"/>
  <c r="J1351" i="3"/>
  <c r="J1352" i="3"/>
  <c r="J1353" i="3"/>
  <c r="J1354" i="3"/>
  <c r="J1355" i="3"/>
  <c r="J1356" i="3"/>
  <c r="J1357" i="3"/>
  <c r="J1358" i="3"/>
  <c r="J1359" i="3"/>
  <c r="J1360" i="3"/>
  <c r="J1361" i="3"/>
  <c r="J1362" i="3"/>
  <c r="J1363" i="3"/>
  <c r="J1364" i="3"/>
  <c r="J1365" i="3"/>
  <c r="J1366" i="3"/>
  <c r="J1367" i="3"/>
  <c r="J1368" i="3"/>
  <c r="J1369" i="3"/>
  <c r="J1370" i="3"/>
  <c r="J1371" i="3"/>
  <c r="J1372" i="3"/>
  <c r="J1373" i="3"/>
  <c r="J1374" i="3"/>
  <c r="J1375" i="3"/>
  <c r="J1376" i="3"/>
  <c r="J1377" i="3"/>
  <c r="J1378" i="3"/>
  <c r="J1379" i="3"/>
  <c r="J1380" i="3"/>
  <c r="J1381" i="3"/>
  <c r="J1382" i="3"/>
  <c r="J1383" i="3"/>
  <c r="J1384" i="3"/>
  <c r="J1385" i="3"/>
  <c r="J1386" i="3"/>
  <c r="J1387" i="3"/>
  <c r="J1388" i="3"/>
  <c r="J1389" i="3"/>
  <c r="J1390" i="3"/>
  <c r="J1391" i="3"/>
  <c r="J1392" i="3"/>
  <c r="J1393" i="3"/>
  <c r="J1394" i="3"/>
  <c r="J1395" i="3"/>
  <c r="J1396" i="3"/>
  <c r="J1397" i="3"/>
  <c r="J1398" i="3"/>
  <c r="J1399" i="3"/>
  <c r="J1400" i="3"/>
  <c r="J1401" i="3"/>
  <c r="J1402" i="3"/>
  <c r="J1403" i="3"/>
  <c r="J1404" i="3"/>
  <c r="J1405" i="3"/>
  <c r="J1406" i="3"/>
  <c r="J1407" i="3"/>
  <c r="J1408" i="3"/>
  <c r="J1409" i="3"/>
  <c r="J1410" i="3"/>
  <c r="J1411" i="3"/>
  <c r="J19" i="3"/>
  <c r="J18" i="3"/>
  <c r="J17" i="3"/>
  <c r="J16" i="3"/>
  <c r="J15" i="3"/>
  <c r="J14" i="3"/>
  <c r="J13" i="3"/>
  <c r="J12" i="3"/>
  <c r="J11" i="3"/>
  <c r="J10" i="3"/>
  <c r="J9" i="3"/>
  <c r="J8" i="3"/>
  <c r="J7" i="3"/>
  <c r="J6" i="3"/>
  <c r="J5" i="3"/>
  <c r="J4" i="3"/>
  <c r="BN24" i="1" l="1"/>
  <c r="BN25" i="1"/>
  <c r="BK22" i="1"/>
  <c r="DI6" i="2"/>
  <c r="DI5" i="2"/>
  <c r="DI4" i="2"/>
  <c r="DI3" i="2"/>
  <c r="CZ6" i="2"/>
  <c r="CZ5" i="2"/>
  <c r="CZ4" i="2"/>
  <c r="CZ3" i="2"/>
  <c r="CZ2" i="2"/>
  <c r="CQ4" i="2"/>
  <c r="CQ3" i="2"/>
  <c r="CQ2" i="2"/>
  <c r="CH3" i="2"/>
  <c r="AB7" i="1"/>
  <c r="E52" i="1" l="1"/>
  <c r="E53" i="1"/>
  <c r="BN26" i="1"/>
  <c r="E48" i="1" a="1"/>
  <c r="E48" i="1" s="1"/>
  <c r="A48" i="1"/>
  <c r="AG50" i="1"/>
  <c r="AG47" i="1"/>
  <c r="AF47" i="1" s="1"/>
  <c r="AG46" i="1"/>
  <c r="AG45" i="1"/>
  <c r="AF45" i="1" s="1"/>
  <c r="AG44" i="1"/>
  <c r="AF44" i="1" s="1"/>
  <c r="AG48" i="1" l="1"/>
  <c r="AG42" i="1"/>
  <c r="AG39" i="1"/>
  <c r="AF39" i="1" s="1"/>
  <c r="AG38" i="1"/>
  <c r="AF38" i="1" s="1"/>
  <c r="AG33" i="1"/>
  <c r="AF33" i="1" s="1"/>
  <c r="AG32" i="1"/>
  <c r="AF32" i="1" s="1"/>
  <c r="DK9" i="3" l="1"/>
  <c r="DK8" i="3"/>
  <c r="DK7" i="3"/>
  <c r="DK6" i="3"/>
  <c r="DK5" i="3"/>
  <c r="DK4" i="3"/>
  <c r="DK3" i="3"/>
  <c r="CI2" i="3"/>
  <c r="BN9" i="3"/>
  <c r="BN8" i="3"/>
  <c r="BN7" i="3"/>
  <c r="BN6" i="3"/>
  <c r="BN5" i="3"/>
  <c r="BN4" i="3"/>
  <c r="AG30" i="1"/>
  <c r="AG28" i="1"/>
  <c r="AG27" i="1"/>
  <c r="AG26" i="1"/>
  <c r="AF26" i="1" s="1"/>
  <c r="AG4" i="1" l="1"/>
  <c r="AG3" i="1"/>
  <c r="AG2" i="1"/>
  <c r="AF2" i="1" s="1"/>
  <c r="E29" i="1" l="1"/>
  <c r="DM4" i="3" s="1" a="1"/>
  <c r="DM4" i="3" s="1"/>
  <c r="E49" i="1"/>
  <c r="AG49" i="1" s="1"/>
  <c r="AF49" i="1" s="1"/>
  <c r="E35" i="1"/>
  <c r="AG35" i="1" s="1"/>
  <c r="AF35" i="1" s="1"/>
  <c r="E41" i="1"/>
  <c r="AG41" i="1" s="1"/>
  <c r="AF41" i="1" s="1"/>
  <c r="F49" i="1"/>
  <c r="F29" i="1"/>
  <c r="F35" i="1"/>
  <c r="F41" i="1"/>
  <c r="Z49" i="1" a="1"/>
  <c r="Z49" i="1" s="1"/>
  <c r="Z40" i="1" a="1"/>
  <c r="Z40" i="1" s="1"/>
  <c r="Z33" i="1" a="1"/>
  <c r="Z33" i="1" s="1"/>
  <c r="Z26" i="1" a="1"/>
  <c r="Z26" i="1" s="1"/>
  <c r="Z48" i="1" a="1"/>
  <c r="Z48" i="1" s="1"/>
  <c r="Z39" i="1" a="1"/>
  <c r="Z39" i="1" s="1"/>
  <c r="Z32" i="1" a="1"/>
  <c r="Z32" i="1" s="1"/>
  <c r="Z25" i="1" a="1"/>
  <c r="Z25" i="1" s="1"/>
  <c r="Z47" i="1" a="1"/>
  <c r="Z47" i="1" s="1"/>
  <c r="Z38" i="1" a="1"/>
  <c r="Z38" i="1" s="1"/>
  <c r="Z30" i="1" a="1"/>
  <c r="Z30" i="1" s="1"/>
  <c r="Z24" i="1" a="1"/>
  <c r="Z24" i="1" s="1"/>
  <c r="Z46" i="1" a="1"/>
  <c r="Z46" i="1" s="1"/>
  <c r="Z29" i="1" a="1"/>
  <c r="Z29" i="1" s="1"/>
  <c r="Z45" i="1" a="1"/>
  <c r="Z45" i="1" s="1"/>
  <c r="Z36" i="1" a="1"/>
  <c r="Z36" i="1" s="1"/>
  <c r="Z23" i="1" a="1"/>
  <c r="Z23" i="1" s="1"/>
  <c r="Z44" i="1" a="1"/>
  <c r="Z44" i="1" s="1"/>
  <c r="Z28" i="1" a="1"/>
  <c r="Z28" i="1" s="1"/>
  <c r="Z22" i="1" a="1"/>
  <c r="Z22" i="1" s="1"/>
  <c r="Z42" i="1" a="1"/>
  <c r="Z42" i="1" s="1"/>
  <c r="Z35" i="1" a="1"/>
  <c r="Z35" i="1" s="1"/>
  <c r="Z27" i="1" a="1"/>
  <c r="Z27" i="1" s="1"/>
  <c r="Z50" i="1" a="1"/>
  <c r="Z50" i="1" s="1"/>
  <c r="Z41" i="1" a="1"/>
  <c r="Z41" i="1" s="1"/>
  <c r="Z34" i="1" a="1"/>
  <c r="Z34" i="1" s="1"/>
  <c r="AE17" i="1"/>
  <c r="AE9" i="1"/>
  <c r="AE16" i="1"/>
  <c r="AE8" i="1"/>
  <c r="AE18" i="1"/>
  <c r="AE15" i="1"/>
  <c r="AE14" i="1"/>
  <c r="AE11" i="1"/>
  <c r="AE13" i="1"/>
  <c r="AE19" i="1"/>
  <c r="AE10" i="1"/>
  <c r="AE20" i="1"/>
  <c r="AE12" i="1"/>
  <c r="AP16" i="1" l="1"/>
  <c r="AP19" i="1"/>
  <c r="AA50" i="1"/>
  <c r="AB50" i="1"/>
  <c r="AA27" i="1"/>
  <c r="AB27" i="1"/>
  <c r="AA45" i="1"/>
  <c r="AB45" i="1"/>
  <c r="AA32" i="1"/>
  <c r="AB32" i="1"/>
  <c r="AA25" i="1"/>
  <c r="AB25" i="1"/>
  <c r="AA35" i="1"/>
  <c r="AB35" i="1"/>
  <c r="AA29" i="1"/>
  <c r="AB29" i="1"/>
  <c r="AA39" i="1"/>
  <c r="AB39" i="1"/>
  <c r="AA36" i="1"/>
  <c r="AB36" i="1"/>
  <c r="AA42" i="1"/>
  <c r="AB42" i="1"/>
  <c r="AA46" i="1"/>
  <c r="AB46" i="1"/>
  <c r="AA48" i="1"/>
  <c r="AB48" i="1"/>
  <c r="AB22" i="1"/>
  <c r="AA22" i="1"/>
  <c r="AA24" i="1"/>
  <c r="AB24" i="1"/>
  <c r="AA26" i="1"/>
  <c r="AB26" i="1"/>
  <c r="AA28" i="1"/>
  <c r="AB28" i="1"/>
  <c r="AB30" i="1"/>
  <c r="AA30" i="1"/>
  <c r="AA33" i="1"/>
  <c r="AB33" i="1"/>
  <c r="AB34" i="1"/>
  <c r="AA34" i="1"/>
  <c r="AB44" i="1"/>
  <c r="AA44" i="1"/>
  <c r="AA38" i="1"/>
  <c r="AB38" i="1"/>
  <c r="AB40" i="1"/>
  <c r="AA40" i="1"/>
  <c r="AA41" i="1"/>
  <c r="AB41" i="1"/>
  <c r="AA23" i="1"/>
  <c r="AB23" i="1"/>
  <c r="AA47" i="1"/>
  <c r="AB47" i="1"/>
  <c r="AB49" i="1"/>
  <c r="AA49" i="1"/>
  <c r="AK50" i="1"/>
  <c r="AO17" i="1"/>
  <c r="BF17" i="1" s="1"/>
  <c r="AO16" i="1"/>
  <c r="BF16" i="1" s="1"/>
  <c r="AO13" i="1"/>
  <c r="BF13" i="1" s="1"/>
  <c r="AO12" i="1"/>
  <c r="BF12" i="1" s="1"/>
  <c r="AO10" i="1"/>
  <c r="BF10" i="1" s="1"/>
  <c r="AO8" i="1"/>
  <c r="BF8" i="1" s="1"/>
  <c r="AO20" i="1"/>
  <c r="BF20" i="1" s="1"/>
  <c r="AO19" i="1"/>
  <c r="BF19" i="1" s="1"/>
  <c r="AO18" i="1"/>
  <c r="BF18" i="1" s="1"/>
  <c r="AO15" i="1"/>
  <c r="BF15" i="1" s="1"/>
  <c r="AO14" i="1"/>
  <c r="BF14" i="1" s="1"/>
  <c r="AO9" i="1"/>
  <c r="BF9" i="1" s="1"/>
  <c r="AO11" i="1"/>
  <c r="BF11" i="1" s="1"/>
  <c r="AK36" i="1"/>
  <c r="AK24" i="1"/>
  <c r="AL24" i="1" s="1"/>
  <c r="BC12" i="3" l="1" a="1"/>
  <c r="BC12" i="3" s="1"/>
  <c r="FR3" i="1"/>
  <c r="FR4" i="1" s="1" a="1"/>
  <c r="FR4" i="1" s="1"/>
  <c r="FQ3" i="1"/>
  <c r="FQ4" i="1" s="1" a="1"/>
  <c r="FQ4" i="1" s="1"/>
  <c r="FP3" i="1"/>
  <c r="FP4" i="1" s="1" a="1"/>
  <c r="FP4" i="1" s="1"/>
  <c r="FO3" i="1"/>
  <c r="FO4" i="1" s="1" a="1"/>
  <c r="FO4" i="1" s="1"/>
  <c r="FN3" i="1"/>
  <c r="FN4" i="1" s="1" a="1"/>
  <c r="FN4" i="1" s="1"/>
  <c r="FM3" i="1"/>
  <c r="FM4" i="1" s="1" a="1"/>
  <c r="FM4" i="1" s="1"/>
  <c r="FL3" i="1"/>
  <c r="FL4" i="1" s="1" a="1"/>
  <c r="FL4" i="1" s="1"/>
  <c r="FK3" i="1"/>
  <c r="FK4" i="1" s="1" a="1"/>
  <c r="FK4" i="1" s="1"/>
  <c r="FJ3" i="1"/>
  <c r="FJ4" i="1" s="1" a="1"/>
  <c r="FJ4" i="1" s="1"/>
  <c r="AM12" i="1" l="1"/>
  <c r="AM15" i="1"/>
  <c r="AM16" i="1"/>
  <c r="AM14" i="1"/>
  <c r="AM10" i="1"/>
  <c r="AM18" i="1"/>
  <c r="AM13" i="1"/>
  <c r="AM17" i="1"/>
  <c r="AM11" i="1"/>
  <c r="AS24" i="1" a="1"/>
  <c r="AS24" i="1" s="1"/>
  <c r="AQ24" i="1" a="1"/>
  <c r="AQ24" i="1" s="1"/>
  <c r="BH20" i="1"/>
  <c r="BG20" i="1"/>
  <c r="Z20" i="1" a="1"/>
  <c r="Z20" i="1" s="1"/>
  <c r="KM6" i="1" s="1"/>
  <c r="BH19" i="1"/>
  <c r="BG19" i="1"/>
  <c r="Z19" i="1" a="1"/>
  <c r="Z19" i="1" s="1"/>
  <c r="KL6" i="1" s="1"/>
  <c r="BH18" i="1"/>
  <c r="BG18" i="1"/>
  <c r="Z18" i="1" a="1"/>
  <c r="Z18" i="1" s="1"/>
  <c r="KK6" i="1" s="1"/>
  <c r="BH17" i="1"/>
  <c r="BG17" i="1"/>
  <c r="Z17" i="1" a="1"/>
  <c r="Z17" i="1" s="1"/>
  <c r="KJ6" i="1" s="1"/>
  <c r="BH16" i="1"/>
  <c r="BG16" i="1"/>
  <c r="Z16" i="1" a="1"/>
  <c r="Z16" i="1" s="1"/>
  <c r="KI6" i="1" s="1"/>
  <c r="BH15" i="1"/>
  <c r="BG15" i="1"/>
  <c r="Z15" i="1" a="1"/>
  <c r="Z15" i="1" s="1"/>
  <c r="KH6" i="1" s="1"/>
  <c r="BH14" i="1"/>
  <c r="BG14" i="1"/>
  <c r="Z14" i="1" a="1"/>
  <c r="Z14" i="1" s="1"/>
  <c r="KG6" i="1" s="1"/>
  <c r="BH13" i="1"/>
  <c r="BG13" i="1"/>
  <c r="Z13" i="1" a="1"/>
  <c r="Z13" i="1" s="1"/>
  <c r="KF6" i="1" s="1"/>
  <c r="BG12" i="1"/>
  <c r="BH10" i="1"/>
  <c r="BG10" i="1"/>
  <c r="Z10" i="1" a="1"/>
  <c r="Z10" i="1" s="1"/>
  <c r="BH9" i="1"/>
  <c r="BG9" i="1"/>
  <c r="Z9" i="1" a="1"/>
  <c r="Z9" i="1" s="1"/>
  <c r="KB6" i="1" s="1"/>
  <c r="BG11" i="1"/>
  <c r="BG8" i="1"/>
  <c r="Z8" i="1" a="1"/>
  <c r="Z8" i="1" s="1"/>
  <c r="KA6" i="1" s="1"/>
  <c r="BH12" i="1"/>
  <c r="Z12" i="1" a="1"/>
  <c r="Z12" i="1" s="1"/>
  <c r="BH11" i="1"/>
  <c r="Z11" i="1" a="1"/>
  <c r="Z11" i="1" s="1"/>
  <c r="BH8" i="1"/>
  <c r="AK18" i="1"/>
  <c r="AW18" i="1" s="1"/>
  <c r="AK15" i="1"/>
  <c r="AK14" i="1"/>
  <c r="AW14" i="1" s="1"/>
  <c r="BC18" i="3" a="1"/>
  <c r="BC18" i="3" s="1"/>
  <c r="AF42" i="1" s="1"/>
  <c r="AK11" i="1"/>
  <c r="AK8" i="1"/>
  <c r="AW8" i="1" s="1"/>
  <c r="AK13" i="1"/>
  <c r="AK16" i="1"/>
  <c r="BB16" i="1" s="1"/>
  <c r="AK9" i="1"/>
  <c r="AK25" i="1" a="1"/>
  <c r="AK25" i="1" s="1"/>
  <c r="AL25" i="1" s="1"/>
  <c r="AK27" i="1" a="1"/>
  <c r="AK27" i="1" s="1"/>
  <c r="F30" i="1" s="1"/>
  <c r="AK23" i="1" a="1"/>
  <c r="AK23" i="1" s="1"/>
  <c r="AK26" i="1" a="1"/>
  <c r="AK26" i="1" s="1"/>
  <c r="AL26" i="1" s="1"/>
  <c r="AK17" i="1"/>
  <c r="AK10" i="1"/>
  <c r="AV10" i="1" s="1"/>
  <c r="AK12" i="1"/>
  <c r="AW12" i="1" s="1"/>
  <c r="AK19" i="1"/>
  <c r="BB19" i="1" s="1"/>
  <c r="AK20" i="1"/>
  <c r="FH3" i="1"/>
  <c r="FH4" i="1" s="1" a="1"/>
  <c r="FH4" i="1" s="1"/>
  <c r="FS3" i="1"/>
  <c r="FS4" i="1" s="1" a="1"/>
  <c r="FS4" i="1" s="1"/>
  <c r="FT3" i="1"/>
  <c r="FT4" i="1" s="1" a="1"/>
  <c r="FT4" i="1" s="1"/>
  <c r="FI3" i="1"/>
  <c r="FI4" i="1" s="1" a="1"/>
  <c r="FI4" i="1" s="1"/>
  <c r="EQ3" i="1"/>
  <c r="EQ4" i="1" s="1" a="1"/>
  <c r="EQ4" i="1" s="1"/>
  <c r="HX3" i="1"/>
  <c r="EJ3" i="1"/>
  <c r="EJ4" i="1" s="1" a="1"/>
  <c r="EJ4" i="1" s="1"/>
  <c r="HQ3" i="1"/>
  <c r="ES3" i="1"/>
  <c r="ES4" i="1" s="1" a="1"/>
  <c r="ES4" i="1" s="1"/>
  <c r="HZ3" i="1"/>
  <c r="EL3" i="1"/>
  <c r="EL4" i="1" s="1" a="1"/>
  <c r="EL4" i="1" s="1"/>
  <c r="HS3" i="1"/>
  <c r="HS4" i="1" s="1" a="1"/>
  <c r="HS4" i="1" s="1"/>
  <c r="EN3" i="1"/>
  <c r="EN4" i="1" s="1" a="1"/>
  <c r="EN4" i="1" s="1"/>
  <c r="HU3" i="1"/>
  <c r="HU4" i="1" s="1" a="1"/>
  <c r="HU4" i="1" s="1"/>
  <c r="EP3" i="1"/>
  <c r="EP4" i="1" s="1" a="1"/>
  <c r="EP4" i="1" s="1"/>
  <c r="HW3" i="1"/>
  <c r="HW4" i="1" s="1" a="1"/>
  <c r="HW4" i="1" s="1"/>
  <c r="EI3" i="1"/>
  <c r="EI4" i="1" s="1" a="1"/>
  <c r="EI4" i="1" s="1"/>
  <c r="HP3" i="1"/>
  <c r="ER3" i="1"/>
  <c r="ER4" i="1" s="1" a="1"/>
  <c r="ER4" i="1" s="1"/>
  <c r="HY3" i="1"/>
  <c r="EK3" i="1"/>
  <c r="EK4" i="1" s="1" a="1"/>
  <c r="EK4" i="1" s="1"/>
  <c r="HR3" i="1"/>
  <c r="ET3" i="1"/>
  <c r="ET4" i="1" s="1" a="1"/>
  <c r="ET4" i="1" s="1"/>
  <c r="IA3" i="1"/>
  <c r="IA4" i="1" s="1" a="1"/>
  <c r="IA4" i="1" s="1"/>
  <c r="EM3" i="1"/>
  <c r="EM4" i="1" s="1" a="1"/>
  <c r="EM4" i="1" s="1"/>
  <c r="HT3" i="1"/>
  <c r="EU3" i="1"/>
  <c r="EU4" i="1" s="1" a="1"/>
  <c r="EU4" i="1" s="1"/>
  <c r="IB3" i="1"/>
  <c r="EO3" i="1"/>
  <c r="EO4" i="1" s="1" a="1"/>
  <c r="EO4" i="1" s="1"/>
  <c r="HV3" i="1"/>
  <c r="HR4" i="1" l="1" a="1"/>
  <c r="HR4" i="1" s="1"/>
  <c r="AN10" i="1" s="1"/>
  <c r="AN20" i="1"/>
  <c r="IB4" i="1" a="1"/>
  <c r="IB4" i="1" s="1"/>
  <c r="AN17" i="1"/>
  <c r="HY4" i="1" a="1"/>
  <c r="HY4" i="1" s="1"/>
  <c r="HP4" i="1" a="1"/>
  <c r="HP4" i="1" s="1"/>
  <c r="AN8" i="1" s="1"/>
  <c r="AN18" i="1"/>
  <c r="HZ4" i="1" a="1"/>
  <c r="HZ4" i="1" s="1"/>
  <c r="AN14" i="1"/>
  <c r="HV4" i="1" a="1"/>
  <c r="HV4" i="1" s="1"/>
  <c r="AN16" i="1"/>
  <c r="HX4" i="1" a="1"/>
  <c r="HX4" i="1" s="1"/>
  <c r="HQ4" i="1" a="1"/>
  <c r="HQ4" i="1" s="1"/>
  <c r="AN9" i="1" s="1"/>
  <c r="HT4" i="1" a="1"/>
  <c r="HT4" i="1" s="1"/>
  <c r="AN12" i="1" s="1"/>
  <c r="AN13" i="1"/>
  <c r="AN11" i="1"/>
  <c r="AM8" i="1"/>
  <c r="AM9" i="1"/>
  <c r="AM20" i="1"/>
  <c r="AM19" i="1"/>
  <c r="AW11" i="1"/>
  <c r="AV11" i="1"/>
  <c r="BB10" i="1"/>
  <c r="AW10" i="1"/>
  <c r="AL27" i="1"/>
  <c r="E24" i="1" s="1"/>
  <c r="AN19" i="1"/>
  <c r="AN15" i="1"/>
  <c r="BB17" i="1"/>
  <c r="KJ29" i="1" s="1"/>
  <c r="AW17" i="1"/>
  <c r="BB20" i="1"/>
  <c r="KM29" i="1" s="1"/>
  <c r="AW20" i="1"/>
  <c r="BB18" i="1"/>
  <c r="KK29" i="1" s="1"/>
  <c r="AV18" i="1"/>
  <c r="KB3" i="1"/>
  <c r="KB5" i="1"/>
  <c r="KB8" i="1"/>
  <c r="KB28" i="1" s="1" a="1"/>
  <c r="KB28" i="1" s="1"/>
  <c r="KB9" i="1"/>
  <c r="KB45" i="1" s="1"/>
  <c r="KF5" i="1"/>
  <c r="KF3" i="1"/>
  <c r="KF8" i="1"/>
  <c r="KF9" i="1"/>
  <c r="KF45" i="1" s="1"/>
  <c r="KJ3" i="1"/>
  <c r="KJ5" i="1"/>
  <c r="KJ8" i="1"/>
  <c r="KJ28" i="1" s="1" a="1"/>
  <c r="KJ28" i="1" s="1"/>
  <c r="KJ9" i="1"/>
  <c r="KJ45" i="1" s="1"/>
  <c r="KL5" i="1"/>
  <c r="KL3" i="1"/>
  <c r="KL9" i="1"/>
  <c r="KL45" i="1" s="1"/>
  <c r="KL8" i="1"/>
  <c r="KL28" i="1" s="1" a="1"/>
  <c r="KL28" i="1" s="1"/>
  <c r="KH5" i="1"/>
  <c r="KH3" i="1"/>
  <c r="KH9" i="1"/>
  <c r="KH45" i="1" s="1"/>
  <c r="KH8" i="1"/>
  <c r="KH28" i="1" s="1" a="1"/>
  <c r="KH28" i="1" s="1"/>
  <c r="KA3" i="1"/>
  <c r="KA5" i="1"/>
  <c r="KA9" i="1"/>
  <c r="KA45" i="1" s="1"/>
  <c r="KA8" i="1"/>
  <c r="BB9" i="1"/>
  <c r="AW9" i="1"/>
  <c r="KG5" i="1"/>
  <c r="KG3" i="1"/>
  <c r="KG8" i="1"/>
  <c r="KG28" i="1" s="1" a="1"/>
  <c r="KG28" i="1" s="1"/>
  <c r="KG9" i="1"/>
  <c r="KG45" i="1" s="1"/>
  <c r="KI3" i="1"/>
  <c r="KI5" i="1"/>
  <c r="KI8" i="1"/>
  <c r="KI28" i="1" s="1" a="1"/>
  <c r="KI28" i="1" s="1"/>
  <c r="KI9" i="1"/>
  <c r="KI45" i="1" s="1"/>
  <c r="KK3" i="1"/>
  <c r="KK5" i="1"/>
  <c r="KK9" i="1"/>
  <c r="KK45" i="1" s="1"/>
  <c r="KK8" i="1"/>
  <c r="KK28" i="1" s="1" a="1"/>
  <c r="KK28" i="1" s="1"/>
  <c r="KM5" i="1"/>
  <c r="KM34" i="1" s="1"/>
  <c r="KM3" i="1"/>
  <c r="KM9" i="1"/>
  <c r="KM45" i="1" s="1"/>
  <c r="KM8" i="1"/>
  <c r="KM28" i="1" s="1" a="1"/>
  <c r="KM28" i="1" s="1"/>
  <c r="AV8" i="1"/>
  <c r="BB8" i="1"/>
  <c r="AC9" i="1"/>
  <c r="AR11" i="1" a="1"/>
  <c r="AR11" i="1" s="1"/>
  <c r="BB11" i="1"/>
  <c r="AC12" i="1"/>
  <c r="KE6" i="1"/>
  <c r="KF14" i="1"/>
  <c r="KF22" i="1" a="1"/>
  <c r="KF22" i="1" s="1"/>
  <c r="KF26" i="1" a="1"/>
  <c r="KF26" i="1" s="1"/>
  <c r="KF18" i="1" a="1"/>
  <c r="KF18" i="1" s="1"/>
  <c r="KF24" i="1" a="1"/>
  <c r="KF24" i="1" s="1"/>
  <c r="KF7" i="1"/>
  <c r="KF27" i="1" a="1"/>
  <c r="KF27" i="1" s="1"/>
  <c r="KF15" i="1" a="1"/>
  <c r="KF15" i="1" s="1"/>
  <c r="KF11" i="1"/>
  <c r="KF19" i="1" a="1"/>
  <c r="KF19" i="1" s="1"/>
  <c r="KF25" i="1" a="1"/>
  <c r="KF25" i="1" s="1"/>
  <c r="KH14" i="1"/>
  <c r="KH18" i="1" a="1"/>
  <c r="KH18" i="1" s="1"/>
  <c r="KH24" i="1" a="1"/>
  <c r="KH24" i="1" s="1"/>
  <c r="KH7" i="1"/>
  <c r="KH27" i="1" a="1"/>
  <c r="KH27" i="1" s="1"/>
  <c r="KH11" i="1"/>
  <c r="KH19" i="1" a="1"/>
  <c r="KH19" i="1" s="1"/>
  <c r="KH10" i="1" a="1"/>
  <c r="KH10" i="1" s="1"/>
  <c r="KH15" i="1" a="1"/>
  <c r="KH15" i="1" s="1"/>
  <c r="KH25" i="1" a="1"/>
  <c r="KH25" i="1" s="1"/>
  <c r="KH12" i="1" a="1"/>
  <c r="KH12" i="1" s="1"/>
  <c r="KH17" i="1" a="1"/>
  <c r="KH17" i="1" s="1"/>
  <c r="KH22" i="1" a="1"/>
  <c r="KH22" i="1" s="1"/>
  <c r="KH26" i="1" a="1"/>
  <c r="KH26" i="1" s="1"/>
  <c r="KH13" i="1" a="1"/>
  <c r="KH13" i="1" s="1"/>
  <c r="KJ10" i="1" a="1"/>
  <c r="KJ10" i="1" s="1"/>
  <c r="KJ14" i="1"/>
  <c r="KJ27" i="1" a="1"/>
  <c r="KJ27" i="1" s="1"/>
  <c r="KJ11" i="1"/>
  <c r="KJ19" i="1" a="1"/>
  <c r="KJ19" i="1" s="1"/>
  <c r="KJ25" i="1" a="1"/>
  <c r="KJ25" i="1" s="1"/>
  <c r="KJ17" i="1" a="1"/>
  <c r="KJ17" i="1" s="1"/>
  <c r="KJ22" i="1" a="1"/>
  <c r="KJ22" i="1" s="1"/>
  <c r="KJ26" i="1" a="1"/>
  <c r="KJ26" i="1" s="1"/>
  <c r="KJ13" i="1" a="1"/>
  <c r="KJ13" i="1" s="1"/>
  <c r="KJ18" i="1" a="1"/>
  <c r="KJ18" i="1" s="1"/>
  <c r="KJ12" i="1" a="1"/>
  <c r="KJ12" i="1" s="1"/>
  <c r="KJ24" i="1" a="1"/>
  <c r="KJ24" i="1" s="1"/>
  <c r="KJ7" i="1"/>
  <c r="KL10" i="1" a="1"/>
  <c r="KL10" i="1" s="1"/>
  <c r="KL14" i="1"/>
  <c r="KL29" i="1"/>
  <c r="KL25" i="1" a="1"/>
  <c r="KL25" i="1" s="1"/>
  <c r="KL12" i="1" a="1"/>
  <c r="KL12" i="1" s="1"/>
  <c r="KL17" i="1" a="1"/>
  <c r="KL17" i="1" s="1"/>
  <c r="KL22" i="1" a="1"/>
  <c r="KL22" i="1" s="1"/>
  <c r="KL26" i="1" a="1"/>
  <c r="KL26" i="1" s="1"/>
  <c r="KL13" i="1" a="1"/>
  <c r="KL13" i="1" s="1"/>
  <c r="KL18" i="1" a="1"/>
  <c r="KL18" i="1" s="1"/>
  <c r="KL24" i="1" a="1"/>
  <c r="KL24" i="1" s="1"/>
  <c r="KL7" i="1"/>
  <c r="KL27" i="1" a="1"/>
  <c r="KL27" i="1" s="1"/>
  <c r="KL15" i="1" a="1"/>
  <c r="KL15" i="1" s="1"/>
  <c r="KL11" i="1"/>
  <c r="KL19" i="1" a="1"/>
  <c r="KL19" i="1" s="1"/>
  <c r="BB14" i="1"/>
  <c r="KG29" i="1" s="1"/>
  <c r="BB15" i="1"/>
  <c r="KH29" i="1" s="1"/>
  <c r="AC8" i="1"/>
  <c r="AC10" i="1"/>
  <c r="KC6" i="1"/>
  <c r="KG10" i="1" a="1"/>
  <c r="KG10" i="1" s="1"/>
  <c r="KG14" i="1"/>
  <c r="KG26" i="1" a="1"/>
  <c r="KG26" i="1" s="1"/>
  <c r="KG13" i="1" a="1"/>
  <c r="KG13" i="1" s="1"/>
  <c r="KG18" i="1" a="1"/>
  <c r="KG18" i="1" s="1"/>
  <c r="KG24" i="1" a="1"/>
  <c r="KG24" i="1" s="1"/>
  <c r="KG27" i="1" a="1"/>
  <c r="KG27" i="1" s="1"/>
  <c r="KG7" i="1"/>
  <c r="KG11" i="1"/>
  <c r="KG19" i="1" a="1"/>
  <c r="KG19" i="1" s="1"/>
  <c r="KG25" i="1" a="1"/>
  <c r="KG25" i="1" s="1"/>
  <c r="KG12" i="1" a="1"/>
  <c r="KG12" i="1" s="1"/>
  <c r="KG17" i="1" a="1"/>
  <c r="KG17" i="1" s="1"/>
  <c r="KG22" i="1" a="1"/>
  <c r="KG22" i="1" s="1"/>
  <c r="KI10" i="1" a="1"/>
  <c r="KI10" i="1" s="1"/>
  <c r="KI29" i="1"/>
  <c r="KI14" i="1"/>
  <c r="KI24" i="1" a="1"/>
  <c r="KI24" i="1" s="1"/>
  <c r="KI7" i="1"/>
  <c r="KI27" i="1" a="1"/>
  <c r="KI27" i="1" s="1"/>
  <c r="KI15" i="1" a="1"/>
  <c r="KI15" i="1" s="1"/>
  <c r="KI11" i="1"/>
  <c r="KI19" i="1" a="1"/>
  <c r="KI19" i="1" s="1"/>
  <c r="KI25" i="1" a="1"/>
  <c r="KI25" i="1" s="1"/>
  <c r="KI12" i="1" a="1"/>
  <c r="KI12" i="1" s="1"/>
  <c r="KI17" i="1" a="1"/>
  <c r="KI17" i="1" s="1"/>
  <c r="KI22" i="1" a="1"/>
  <c r="KI22" i="1" s="1"/>
  <c r="KI26" i="1" a="1"/>
  <c r="KI26" i="1" s="1"/>
  <c r="KI13" i="1" a="1"/>
  <c r="KI13" i="1" s="1"/>
  <c r="KI18" i="1" a="1"/>
  <c r="KI18" i="1" s="1"/>
  <c r="KK14" i="1"/>
  <c r="KK11" i="1"/>
  <c r="KK19" i="1" a="1"/>
  <c r="KK19" i="1" s="1"/>
  <c r="KK25" i="1" a="1"/>
  <c r="KK25" i="1" s="1"/>
  <c r="KK22" i="1" a="1"/>
  <c r="KK22" i="1" s="1"/>
  <c r="KK26" i="1" a="1"/>
  <c r="KK26" i="1" s="1"/>
  <c r="KK13" i="1" a="1"/>
  <c r="KK13" i="1" s="1"/>
  <c r="KK18" i="1" a="1"/>
  <c r="KK18" i="1" s="1"/>
  <c r="KK24" i="1" a="1"/>
  <c r="KK24" i="1" s="1"/>
  <c r="KK7" i="1"/>
  <c r="KK27" i="1" a="1"/>
  <c r="KK27" i="1" s="1"/>
  <c r="KM10" i="1" a="1"/>
  <c r="KM10" i="1" s="1"/>
  <c r="KM14" i="1"/>
  <c r="KM17" i="1" a="1"/>
  <c r="KM17" i="1" s="1"/>
  <c r="KM22" i="1" a="1"/>
  <c r="KM22" i="1" s="1"/>
  <c r="KM26" i="1" a="1"/>
  <c r="KM26" i="1" s="1"/>
  <c r="KM18" i="1" a="1"/>
  <c r="KM18" i="1" s="1"/>
  <c r="KM24" i="1" a="1"/>
  <c r="KM24" i="1" s="1"/>
  <c r="KM7" i="1"/>
  <c r="KM13" i="1" a="1"/>
  <c r="KM13" i="1" s="1"/>
  <c r="KM27" i="1" a="1"/>
  <c r="KM27" i="1" s="1"/>
  <c r="KM11" i="1"/>
  <c r="KM19" i="1" a="1"/>
  <c r="KM19" i="1" s="1"/>
  <c r="KM25" i="1" a="1"/>
  <c r="KM25" i="1" s="1"/>
  <c r="KM12" i="1" a="1"/>
  <c r="KM12" i="1" s="1"/>
  <c r="BB12" i="1"/>
  <c r="BB13" i="1"/>
  <c r="KF29" i="1" s="1"/>
  <c r="AC11" i="1"/>
  <c r="KD6" i="1"/>
  <c r="AV9" i="1"/>
  <c r="AV13" i="1"/>
  <c r="AV12" i="1"/>
  <c r="AR9" i="1" a="1"/>
  <c r="AR9" i="1" s="1"/>
  <c r="AR14" i="1" a="1"/>
  <c r="AR14" i="1" s="1"/>
  <c r="AR15" i="1" a="1"/>
  <c r="AR15" i="1" s="1"/>
  <c r="AR18" i="1" a="1"/>
  <c r="AR18" i="1" s="1"/>
  <c r="IG35" i="1"/>
  <c r="AP15" i="1" s="1"/>
  <c r="IG27" i="1"/>
  <c r="IG34" i="1"/>
  <c r="AP20" i="1" s="1"/>
  <c r="IG26" i="1"/>
  <c r="IG29" i="1"/>
  <c r="IG28" i="1"/>
  <c r="IG33" i="1"/>
  <c r="IG32" i="1"/>
  <c r="IG31" i="1"/>
  <c r="IG30" i="1"/>
  <c r="AU15" i="1"/>
  <c r="AU19" i="1"/>
  <c r="AU20" i="1"/>
  <c r="AU17" i="1"/>
  <c r="AU18" i="1"/>
  <c r="AU16" i="1"/>
  <c r="CU10" i="3"/>
  <c r="F28" i="1" s="1"/>
  <c r="AR8" i="1" a="1"/>
  <c r="AR8" i="1" s="1"/>
  <c r="AC20" i="1"/>
  <c r="AA20" i="1"/>
  <c r="AB20" i="1"/>
  <c r="AC19" i="1"/>
  <c r="AA19" i="1"/>
  <c r="AB19" i="1"/>
  <c r="AC18" i="1"/>
  <c r="AA18" i="1"/>
  <c r="AB18" i="1"/>
  <c r="AC17" i="1"/>
  <c r="AB17" i="1"/>
  <c r="AA17" i="1"/>
  <c r="AC16" i="1"/>
  <c r="AA16" i="1"/>
  <c r="AB16" i="1"/>
  <c r="AC15" i="1"/>
  <c r="AA15" i="1"/>
  <c r="AB15" i="1"/>
  <c r="AC14" i="1"/>
  <c r="AA14" i="1"/>
  <c r="AB14" i="1"/>
  <c r="AC13" i="1"/>
  <c r="AB13" i="1"/>
  <c r="AA13" i="1"/>
  <c r="AB10" i="1"/>
  <c r="AA10" i="1"/>
  <c r="AA9" i="1"/>
  <c r="AB9" i="1"/>
  <c r="AA8" i="1"/>
  <c r="AB8" i="1"/>
  <c r="AA12" i="1"/>
  <c r="AB12" i="1"/>
  <c r="AA11" i="1"/>
  <c r="AB11" i="1"/>
  <c r="AM50" i="1"/>
  <c r="EN5" i="3"/>
  <c r="EO4" i="3" s="1" a="1"/>
  <c r="EO4" i="3" s="1"/>
  <c r="AR20" i="1" a="1"/>
  <c r="AR20" i="1" s="1"/>
  <c r="AR16" i="1" a="1"/>
  <c r="AR16" i="1" s="1"/>
  <c r="AR13" i="1" a="1"/>
  <c r="AR13" i="1" s="1"/>
  <c r="AR19" i="1" a="1"/>
  <c r="AR19" i="1" s="1"/>
  <c r="AR17" i="1" a="1"/>
  <c r="AR17" i="1" s="1"/>
  <c r="AM36" i="1"/>
  <c r="E36" i="1" s="1"/>
  <c r="BC6" i="3"/>
  <c r="AR12" i="1" a="1"/>
  <c r="AR12" i="1" s="1"/>
  <c r="AR10" i="1" a="1"/>
  <c r="AR10" i="1" s="1"/>
  <c r="CO6" i="3"/>
  <c r="F27" i="1"/>
  <c r="AL23" i="1"/>
  <c r="CR5" i="1"/>
  <c r="CW38" i="1" s="1"/>
  <c r="CR6" i="1"/>
  <c r="CR7" i="1"/>
  <c r="CR8" i="1"/>
  <c r="CR9" i="1"/>
  <c r="CR10" i="1"/>
  <c r="CW15" i="1" s="1"/>
  <c r="CR11" i="1"/>
  <c r="CW24" i="1" s="1"/>
  <c r="CR12" i="1"/>
  <c r="CW37" i="1" s="1"/>
  <c r="CR13" i="1"/>
  <c r="CR14" i="1"/>
  <c r="CR15" i="1"/>
  <c r="CR16" i="1"/>
  <c r="CR17" i="1"/>
  <c r="CR18" i="1"/>
  <c r="CW83" i="1" s="1"/>
  <c r="CR19" i="1"/>
  <c r="CR20" i="1"/>
  <c r="CR21" i="1"/>
  <c r="CR22" i="1"/>
  <c r="CR23" i="1"/>
  <c r="CW116" i="1" s="1"/>
  <c r="CR24" i="1"/>
  <c r="CR25" i="1"/>
  <c r="CR26" i="1"/>
  <c r="CR27" i="1"/>
  <c r="CR28" i="1"/>
  <c r="CR29" i="1"/>
  <c r="CW151" i="1" s="1"/>
  <c r="CR30" i="1"/>
  <c r="CW156" i="1" s="1"/>
  <c r="CR31" i="1"/>
  <c r="CR32" i="1"/>
  <c r="CW171" i="1" s="1"/>
  <c r="CR33" i="1"/>
  <c r="CR34" i="1"/>
  <c r="CR35" i="1"/>
  <c r="CR36" i="1"/>
  <c r="CR37" i="1"/>
  <c r="CR38" i="1"/>
  <c r="CR39" i="1"/>
  <c r="CR40" i="1"/>
  <c r="CR41" i="1"/>
  <c r="CR42" i="1"/>
  <c r="CR43" i="1"/>
  <c r="CR45" i="1"/>
  <c r="CR46" i="1"/>
  <c r="CR47" i="1"/>
  <c r="CR48" i="1"/>
  <c r="CR49" i="1"/>
  <c r="CR50" i="1"/>
  <c r="CR51" i="1"/>
  <c r="CR52" i="1"/>
  <c r="CR53" i="1"/>
  <c r="CR54" i="1"/>
  <c r="CR55" i="1"/>
  <c r="CR56" i="1"/>
  <c r="CR57" i="1"/>
  <c r="CR58" i="1"/>
  <c r="CR59" i="1"/>
  <c r="CR60" i="1"/>
  <c r="CR61" i="1"/>
  <c r="CR62" i="1"/>
  <c r="CR63" i="1"/>
  <c r="CR64" i="1"/>
  <c r="CR4" i="1"/>
  <c r="CW12" i="1" s="1"/>
  <c r="KI43" i="1" l="1"/>
  <c r="KI44" i="1"/>
  <c r="KL46" i="1"/>
  <c r="KF43" i="1"/>
  <c r="KF44" i="1"/>
  <c r="KM44" i="1"/>
  <c r="KJ43" i="1"/>
  <c r="KJ44" i="1"/>
  <c r="KL43" i="1"/>
  <c r="KL44" i="1"/>
  <c r="KH43" i="1"/>
  <c r="KH44" i="1"/>
  <c r="KK43" i="1"/>
  <c r="KK44" i="1"/>
  <c r="KG43" i="1"/>
  <c r="KG44" i="1"/>
  <c r="KI46" i="1"/>
  <c r="KH46" i="1"/>
  <c r="KF46" i="1"/>
  <c r="CW11" i="1"/>
  <c r="CW10" i="1"/>
  <c r="CW99" i="1"/>
  <c r="CW98" i="1"/>
  <c r="CW97" i="1"/>
  <c r="CW96" i="1"/>
  <c r="CW82" i="1"/>
  <c r="CW81" i="1"/>
  <c r="CW168" i="1"/>
  <c r="CW167" i="1"/>
  <c r="CW166" i="1"/>
  <c r="CW165" i="1"/>
  <c r="CW125" i="1"/>
  <c r="CW126" i="1"/>
  <c r="CW128" i="1"/>
  <c r="CW127" i="1"/>
  <c r="CW85" i="1"/>
  <c r="CW87" i="1"/>
  <c r="CW84" i="1"/>
  <c r="CW86" i="1"/>
  <c r="CW43" i="1"/>
  <c r="CW46" i="1"/>
  <c r="CW45" i="1"/>
  <c r="CW44" i="1"/>
  <c r="CW169" i="1"/>
  <c r="CW170" i="1"/>
  <c r="CW49" i="1"/>
  <c r="CW50" i="1"/>
  <c r="CW13" i="1"/>
  <c r="CW14" i="1"/>
  <c r="CW161" i="1"/>
  <c r="CW163" i="1"/>
  <c r="CW162" i="1"/>
  <c r="CW164" i="1"/>
  <c r="CW124" i="1"/>
  <c r="CW123" i="1"/>
  <c r="CW122" i="1"/>
  <c r="CW121" i="1"/>
  <c r="CW77" i="1"/>
  <c r="CW78" i="1"/>
  <c r="CW79" i="1"/>
  <c r="CW80" i="1"/>
  <c r="CW33" i="1"/>
  <c r="CW34" i="1"/>
  <c r="CW35" i="1"/>
  <c r="CW36" i="1"/>
  <c r="CW115" i="1"/>
  <c r="CW114" i="1"/>
  <c r="CW48" i="1"/>
  <c r="CW47" i="1"/>
  <c r="CW5" i="1"/>
  <c r="CW4" i="1"/>
  <c r="CW57" i="1"/>
  <c r="CW56" i="1"/>
  <c r="CW55" i="1"/>
  <c r="CW58" i="1"/>
  <c r="CW41" i="1"/>
  <c r="CW42" i="1"/>
  <c r="CW110" i="1"/>
  <c r="CW111" i="1"/>
  <c r="CW113" i="1"/>
  <c r="CW112" i="1"/>
  <c r="CW25" i="1"/>
  <c r="CW27" i="1"/>
  <c r="CW26" i="1"/>
  <c r="CW28" i="1"/>
  <c r="CW138" i="1"/>
  <c r="CW137" i="1"/>
  <c r="CW91" i="1"/>
  <c r="CW90" i="1"/>
  <c r="CW143" i="1"/>
  <c r="CW146" i="1"/>
  <c r="CW145" i="1"/>
  <c r="CW144" i="1"/>
  <c r="CW160" i="1"/>
  <c r="CW159" i="1"/>
  <c r="CW158" i="1"/>
  <c r="CW157" i="1"/>
  <c r="CW76" i="1"/>
  <c r="CW75" i="1"/>
  <c r="CW74" i="1"/>
  <c r="CW73" i="1"/>
  <c r="CW105" i="1"/>
  <c r="CW104" i="1"/>
  <c r="CW155" i="1"/>
  <c r="CW154" i="1"/>
  <c r="CW153" i="1"/>
  <c r="CW152" i="1"/>
  <c r="CW109" i="1"/>
  <c r="CW108" i="1"/>
  <c r="CW107" i="1"/>
  <c r="CW106" i="1"/>
  <c r="CW68" i="1"/>
  <c r="CW67" i="1"/>
  <c r="CW66" i="1"/>
  <c r="CW65" i="1"/>
  <c r="CW21" i="1"/>
  <c r="CW20" i="1"/>
  <c r="CW23" i="1"/>
  <c r="CW22" i="1"/>
  <c r="CW135" i="1"/>
  <c r="CW136" i="1"/>
  <c r="CW89" i="1"/>
  <c r="CW88" i="1"/>
  <c r="CW177" i="1"/>
  <c r="CW176" i="1"/>
  <c r="CW178" i="1"/>
  <c r="CW179" i="1"/>
  <c r="CW7" i="1"/>
  <c r="CW6" i="1"/>
  <c r="CW9" i="1"/>
  <c r="CW8" i="1"/>
  <c r="CW117" i="1"/>
  <c r="CW118" i="1"/>
  <c r="CW119" i="1"/>
  <c r="CW120" i="1"/>
  <c r="CW32" i="1"/>
  <c r="CW31" i="1"/>
  <c r="CW30" i="1"/>
  <c r="CW29" i="1"/>
  <c r="CW149" i="1"/>
  <c r="CW148" i="1"/>
  <c r="CW147" i="1"/>
  <c r="CW150" i="1"/>
  <c r="CW101" i="1"/>
  <c r="CW100" i="1"/>
  <c r="CW103" i="1"/>
  <c r="CW102" i="1"/>
  <c r="CW61" i="1"/>
  <c r="CW62" i="1"/>
  <c r="CW60" i="1"/>
  <c r="CW59" i="1"/>
  <c r="CW19" i="1"/>
  <c r="CW18" i="1"/>
  <c r="CW17" i="1"/>
  <c r="CW16" i="1"/>
  <c r="CW133" i="1"/>
  <c r="CW134" i="1"/>
  <c r="CW132" i="1"/>
  <c r="CW131" i="1"/>
  <c r="CW175" i="1"/>
  <c r="CW174" i="1"/>
  <c r="CW173" i="1"/>
  <c r="CW172" i="1"/>
  <c r="CW141" i="1"/>
  <c r="CW140" i="1"/>
  <c r="CW139" i="1"/>
  <c r="CW142" i="1"/>
  <c r="CW93" i="1"/>
  <c r="CW92" i="1"/>
  <c r="CW95" i="1"/>
  <c r="CW94" i="1"/>
  <c r="CW51" i="1"/>
  <c r="CW54" i="1"/>
  <c r="CW53" i="1"/>
  <c r="CW52" i="1"/>
  <c r="CW130" i="1"/>
  <c r="CW129" i="1"/>
  <c r="CW63" i="1"/>
  <c r="CW64" i="1"/>
  <c r="CW40" i="1"/>
  <c r="CW39" i="1"/>
  <c r="E7" i="1"/>
  <c r="AM6" i="1"/>
  <c r="KM43" i="1"/>
  <c r="KI34" i="1"/>
  <c r="KK34" i="1"/>
  <c r="KK16" i="1"/>
  <c r="KK21" i="1"/>
  <c r="KK20" i="1"/>
  <c r="KK23" i="1"/>
  <c r="KH34" i="1"/>
  <c r="KF23" i="1"/>
  <c r="KF21" i="1"/>
  <c r="KF16" i="1"/>
  <c r="KF20" i="1"/>
  <c r="KA21" i="1"/>
  <c r="KA20" i="1"/>
  <c r="KA16" i="1"/>
  <c r="KA23" i="1"/>
  <c r="KJ20" i="1"/>
  <c r="KJ23" i="1"/>
  <c r="KJ16" i="1"/>
  <c r="KJ21" i="1"/>
  <c r="KF34" i="1"/>
  <c r="KC3" i="1"/>
  <c r="KC5" i="1"/>
  <c r="KC9" i="1"/>
  <c r="KC45" i="1" s="1"/>
  <c r="KC8" i="1"/>
  <c r="KC28" i="1" s="1" a="1"/>
  <c r="KC28" i="1" s="1"/>
  <c r="KM23" i="1"/>
  <c r="KM20" i="1"/>
  <c r="KM21" i="1"/>
  <c r="KM16" i="1"/>
  <c r="KJ34" i="1"/>
  <c r="KE3" i="1"/>
  <c r="KE5" i="1"/>
  <c r="KE34" i="1" s="1"/>
  <c r="KE9" i="1"/>
  <c r="KE45" i="1" s="1"/>
  <c r="KE8" i="1"/>
  <c r="KE28" i="1" s="1" a="1"/>
  <c r="KE28" i="1" s="1"/>
  <c r="KG20" i="1"/>
  <c r="KG16" i="1"/>
  <c r="KG21" i="1"/>
  <c r="KG23" i="1"/>
  <c r="KL21" i="1"/>
  <c r="KL20" i="1"/>
  <c r="KL16" i="1"/>
  <c r="KL23" i="1"/>
  <c r="KB21" i="1"/>
  <c r="KB23" i="1"/>
  <c r="KB16" i="1"/>
  <c r="KB20" i="1"/>
  <c r="KD5" i="1"/>
  <c r="KD3" i="1"/>
  <c r="KD9" i="1"/>
  <c r="KD45" i="1" s="1"/>
  <c r="KD8" i="1"/>
  <c r="KD28" i="1" s="1" a="1"/>
  <c r="KD28" i="1" s="1"/>
  <c r="KI20" i="1"/>
  <c r="KI16" i="1"/>
  <c r="KI21" i="1"/>
  <c r="KI23" i="1"/>
  <c r="KG34" i="1"/>
  <c r="KH16" i="1"/>
  <c r="KH21" i="1"/>
  <c r="KH23" i="1"/>
  <c r="KH20" i="1"/>
  <c r="KL34" i="1"/>
  <c r="KC10" i="1" a="1"/>
  <c r="KC10" i="1" s="1"/>
  <c r="KC29" i="1"/>
  <c r="KC14" i="1"/>
  <c r="KC11" i="1"/>
  <c r="KC19" i="1" a="1"/>
  <c r="KC19" i="1" s="1"/>
  <c r="KC25" i="1" a="1"/>
  <c r="KC25" i="1" s="1"/>
  <c r="KC22" i="1" a="1"/>
  <c r="KC22" i="1" s="1"/>
  <c r="KC26" i="1" a="1"/>
  <c r="KC26" i="1" s="1"/>
  <c r="KC18" i="1" a="1"/>
  <c r="KC18" i="1" s="1"/>
  <c r="KC24" i="1" a="1"/>
  <c r="KC24" i="1" s="1"/>
  <c r="KC7" i="1"/>
  <c r="KC27" i="1" a="1"/>
  <c r="KC27" i="1" s="1"/>
  <c r="KE14" i="1"/>
  <c r="KE29" i="1"/>
  <c r="KE22" i="1" a="1"/>
  <c r="KE22" i="1" s="1"/>
  <c r="KE13" i="1" a="1"/>
  <c r="KE13" i="1" s="1"/>
  <c r="KE26" i="1" a="1"/>
  <c r="KE26" i="1" s="1"/>
  <c r="KE18" i="1" a="1"/>
  <c r="KE18" i="1" s="1"/>
  <c r="KE24" i="1" a="1"/>
  <c r="KE24" i="1" s="1"/>
  <c r="KE7" i="1"/>
  <c r="KE27" i="1" a="1"/>
  <c r="KE27" i="1" s="1"/>
  <c r="KE11" i="1"/>
  <c r="KE19" i="1" a="1"/>
  <c r="KE19" i="1" s="1"/>
  <c r="KE25" i="1" a="1"/>
  <c r="KE25" i="1" s="1"/>
  <c r="KE12" i="1" a="1"/>
  <c r="KE12" i="1" s="1"/>
  <c r="KE10" i="1" a="1"/>
  <c r="KE10" i="1" s="1"/>
  <c r="KD14" i="1"/>
  <c r="KD29" i="1"/>
  <c r="KD25" i="1" a="1"/>
  <c r="KD25" i="1" s="1"/>
  <c r="KD22" i="1" a="1"/>
  <c r="KD22" i="1" s="1"/>
  <c r="KD26" i="1" a="1"/>
  <c r="KD26" i="1" s="1"/>
  <c r="KD18" i="1" a="1"/>
  <c r="KD18" i="1" s="1"/>
  <c r="KD24" i="1" a="1"/>
  <c r="KD24" i="1" s="1"/>
  <c r="KD7" i="1"/>
  <c r="KD27" i="1" a="1"/>
  <c r="KD27" i="1" s="1"/>
  <c r="KD11" i="1"/>
  <c r="KD19" i="1" a="1"/>
  <c r="KD19" i="1" s="1"/>
  <c r="KA29" i="1"/>
  <c r="KA14" i="1"/>
  <c r="KA24" i="1" a="1"/>
  <c r="KA24" i="1" s="1"/>
  <c r="KA7" i="1"/>
  <c r="KA27" i="1" a="1"/>
  <c r="KA27" i="1" s="1"/>
  <c r="KA11" i="1"/>
  <c r="KA19" i="1" a="1"/>
  <c r="KA19" i="1" s="1"/>
  <c r="KA25" i="1" a="1"/>
  <c r="KA25" i="1" s="1"/>
  <c r="KA22" i="1" a="1"/>
  <c r="KA22" i="1" s="1"/>
  <c r="KA26" i="1" a="1"/>
  <c r="KA26" i="1" s="1"/>
  <c r="KA18" i="1" a="1"/>
  <c r="KA18" i="1" s="1"/>
  <c r="KB29" i="1"/>
  <c r="KB14" i="1"/>
  <c r="KB27" i="1" a="1"/>
  <c r="KB27" i="1" s="1"/>
  <c r="KB11" i="1"/>
  <c r="KB19" i="1" a="1"/>
  <c r="KB19" i="1" s="1"/>
  <c r="KB25" i="1" a="1"/>
  <c r="KB25" i="1" s="1"/>
  <c r="KB22" i="1" a="1"/>
  <c r="KB22" i="1" s="1"/>
  <c r="KB26" i="1" a="1"/>
  <c r="KB26" i="1" s="1"/>
  <c r="KB18" i="1" a="1"/>
  <c r="KB18" i="1" s="1"/>
  <c r="KB24" i="1" a="1"/>
  <c r="KB24" i="1" s="1"/>
  <c r="KB7" i="1"/>
  <c r="AW23" i="1"/>
  <c r="AW22" i="1"/>
  <c r="AV23" i="1"/>
  <c r="AV22" i="1"/>
  <c r="G7" i="1"/>
  <c r="AN6" i="1"/>
  <c r="EO1" i="3"/>
  <c r="F46" i="1" s="1"/>
  <c r="H46" i="1"/>
  <c r="A46" i="1" s="1"/>
  <c r="AF30" i="1"/>
  <c r="AG36" i="1"/>
  <c r="AG24" i="1"/>
  <c r="KK17" i="1" s="1" a="1"/>
  <c r="KK17" i="1" s="1"/>
  <c r="AF46" i="1"/>
  <c r="AT20" i="1" s="1"/>
  <c r="F50" i="1"/>
  <c r="ES5" i="3"/>
  <c r="AF27" i="1"/>
  <c r="CU6" i="3"/>
  <c r="CU4" i="3"/>
  <c r="CU5" i="3"/>
  <c r="AF3" i="1"/>
  <c r="E22" i="1" s="1"/>
  <c r="AL17" i="1"/>
  <c r="AL9" i="1"/>
  <c r="AL18" i="1"/>
  <c r="AL16" i="1"/>
  <c r="AL8" i="1"/>
  <c r="AL15" i="1"/>
  <c r="AL10" i="1"/>
  <c r="AL14" i="1"/>
  <c r="AL13" i="1"/>
  <c r="AL20" i="1"/>
  <c r="AL12" i="1"/>
  <c r="AL19" i="1"/>
  <c r="AL11" i="1"/>
  <c r="DU1" i="1" a="1"/>
  <c r="DU1" i="1" s="1"/>
  <c r="KE43" i="1" l="1"/>
  <c r="KE44" i="1"/>
  <c r="KB43" i="1"/>
  <c r="KB44" i="1"/>
  <c r="KC43" i="1"/>
  <c r="KC44" i="1"/>
  <c r="KD43" i="1"/>
  <c r="KD44" i="1"/>
  <c r="KA43" i="1"/>
  <c r="KA44" i="1"/>
  <c r="KE15" i="1" a="1"/>
  <c r="KE15" i="1" s="1"/>
  <c r="KE46" i="1" s="1"/>
  <c r="KK15" i="1" a="1"/>
  <c r="KK15" i="1" s="1"/>
  <c r="KK46" i="1" s="1"/>
  <c r="AT17" i="1"/>
  <c r="AT19" i="1"/>
  <c r="AT14" i="1"/>
  <c r="AT15" i="1"/>
  <c r="CY4" i="1" a="1"/>
  <c r="CY4" i="1" s="1"/>
  <c r="D3" i="1" s="1"/>
  <c r="A3" i="1" s="1"/>
  <c r="KD17" i="1" a="1"/>
  <c r="KD17" i="1" s="1"/>
  <c r="KC17" i="1" a="1"/>
  <c r="KC17" i="1" s="1"/>
  <c r="KD15" i="1" a="1"/>
  <c r="KD15" i="1" s="1"/>
  <c r="KD46" i="1" s="1"/>
  <c r="KC15" i="1" a="1"/>
  <c r="KC15" i="1" s="1"/>
  <c r="KC46" i="1" s="1"/>
  <c r="KB17" i="1" a="1"/>
  <c r="KB17" i="1" s="1"/>
  <c r="KA15" i="1" a="1"/>
  <c r="KA15" i="1" s="1"/>
  <c r="KA46" i="1" s="1"/>
  <c r="KE17" i="1" a="1"/>
  <c r="KE17" i="1" s="1"/>
  <c r="KM15" i="1" a="1"/>
  <c r="KM15" i="1" s="1"/>
  <c r="KM46" i="1" s="1"/>
  <c r="KJ15" i="1" a="1"/>
  <c r="KJ15" i="1" s="1"/>
  <c r="KJ46" i="1" s="1"/>
  <c r="AT16" i="1"/>
  <c r="AF24" i="1"/>
  <c r="AS11" i="1" s="1" a="1"/>
  <c r="AS11" i="1" s="1"/>
  <c r="AU11" i="1" s="1"/>
  <c r="KF17" i="1" a="1"/>
  <c r="KF17" i="1" s="1"/>
  <c r="KD34" i="1"/>
  <c r="KD21" i="1"/>
  <c r="KD16" i="1"/>
  <c r="KD23" i="1"/>
  <c r="KD20" i="1"/>
  <c r="KE23" i="1"/>
  <c r="KE16" i="1"/>
  <c r="KE20" i="1"/>
  <c r="KE21" i="1"/>
  <c r="KC16" i="1"/>
  <c r="KC23" i="1"/>
  <c r="KC20" i="1"/>
  <c r="KC21" i="1"/>
  <c r="KC34" i="1"/>
  <c r="KB34" i="1"/>
  <c r="KA34" i="1"/>
  <c r="AF36" i="1"/>
  <c r="IG60" i="1" s="1"/>
  <c r="KG15" i="1" a="1"/>
  <c r="KG15" i="1" s="1"/>
  <c r="KG46" i="1" s="1"/>
  <c r="KB15" i="1" a="1"/>
  <c r="KB15" i="1" s="1"/>
  <c r="KB46" i="1" s="1"/>
  <c r="KA17" i="1" a="1"/>
  <c r="KA17" i="1" s="1"/>
  <c r="AS12" i="1" a="1"/>
  <c r="AS12" i="1" s="1"/>
  <c r="AU12" i="1" s="1"/>
  <c r="AV25" i="1"/>
  <c r="G6" i="1" s="1"/>
  <c r="A6" i="1" s="1"/>
  <c r="IG16" i="1"/>
  <c r="IG8" i="1"/>
  <c r="IG17" i="1"/>
  <c r="IG23" i="1"/>
  <c r="IG15" i="1"/>
  <c r="IG7" i="1"/>
  <c r="IG22" i="1"/>
  <c r="IG14" i="1"/>
  <c r="IG21" i="1"/>
  <c r="IG13" i="1"/>
  <c r="IG20" i="1"/>
  <c r="IG12" i="1"/>
  <c r="IG19" i="1"/>
  <c r="IG11" i="1"/>
  <c r="IG18" i="1"/>
  <c r="IG10" i="1"/>
  <c r="IG9" i="1"/>
  <c r="IG6" i="1"/>
  <c r="IG5" i="1"/>
  <c r="IG4" i="1"/>
  <c r="IG3" i="1"/>
  <c r="AU14" i="1"/>
  <c r="C7" i="1"/>
  <c r="AL6" i="1"/>
  <c r="BA18" i="1"/>
  <c r="AQ18" i="1" s="1" a="1"/>
  <c r="AQ18" i="1" s="1"/>
  <c r="BA9" i="1"/>
  <c r="AQ9" i="1" s="1" a="1"/>
  <c r="AQ9" i="1" s="1"/>
  <c r="BA17" i="1"/>
  <c r="AQ17" i="1" s="1" a="1"/>
  <c r="AQ17" i="1" s="1"/>
  <c r="BA10" i="1"/>
  <c r="AQ10" i="1" s="1" a="1"/>
  <c r="AQ10" i="1" s="1"/>
  <c r="BA16" i="1"/>
  <c r="AQ16" i="1" s="1" a="1"/>
  <c r="AQ16" i="1" s="1"/>
  <c r="BA11" i="1"/>
  <c r="AQ11" i="1" s="1" a="1"/>
  <c r="AQ11" i="1" s="1"/>
  <c r="BA8" i="1"/>
  <c r="AQ8" i="1" s="1" a="1"/>
  <c r="AQ8" i="1" s="1"/>
  <c r="BA15" i="1"/>
  <c r="AQ15" i="1" s="1" a="1"/>
  <c r="AQ15" i="1" s="1"/>
  <c r="BA14" i="1"/>
  <c r="AQ14" i="1" s="1" a="1"/>
  <c r="AQ14" i="1" s="1"/>
  <c r="BA20" i="1"/>
  <c r="AQ20" i="1" s="1" a="1"/>
  <c r="AQ20" i="1" s="1"/>
  <c r="BA19" i="1"/>
  <c r="AQ19" i="1" s="1" a="1"/>
  <c r="AQ19" i="1" s="1"/>
  <c r="H19" i="1" s="1"/>
  <c r="KL4" i="1" s="1"/>
  <c r="BA13" i="1"/>
  <c r="AQ13" i="1" s="1" a="1"/>
  <c r="AQ13" i="1" s="1"/>
  <c r="BA12" i="1"/>
  <c r="AQ12" i="1" s="1" a="1"/>
  <c r="AQ12" i="1" s="1"/>
  <c r="AF6" i="1"/>
  <c r="AF20" i="1"/>
  <c r="AF12" i="1"/>
  <c r="AF19" i="1"/>
  <c r="AF11" i="1"/>
  <c r="AF18" i="1"/>
  <c r="AF10" i="1"/>
  <c r="AF17" i="1"/>
  <c r="AF9" i="1"/>
  <c r="AF16" i="1"/>
  <c r="AF8" i="1"/>
  <c r="AF15" i="1"/>
  <c r="AF14" i="1"/>
  <c r="AF13" i="1"/>
  <c r="ET4" i="3" a="1"/>
  <c r="ET4" i="3" s="1"/>
  <c r="AF50" i="1"/>
  <c r="AF28" i="1"/>
  <c r="DP4" i="1" a="1"/>
  <c r="DP4" i="1" s="1"/>
  <c r="H20" i="1" l="1"/>
  <c r="KM4" i="1" s="1"/>
  <c r="H16" i="1"/>
  <c r="KI4" i="1" s="1"/>
  <c r="H15" i="1"/>
  <c r="KH4" i="1" s="1"/>
  <c r="DC1" i="1"/>
  <c r="AG5" i="1"/>
  <c r="AS8" i="1" a="1"/>
  <c r="AS8" i="1" s="1"/>
  <c r="AU8" i="1" s="1"/>
  <c r="AS10" i="1" a="1"/>
  <c r="AS10" i="1" s="1"/>
  <c r="AU10" i="1" s="1"/>
  <c r="DC4" i="1" a="1"/>
  <c r="DC4" i="1" s="1"/>
  <c r="AS9" i="1" a="1"/>
  <c r="AS9" i="1" s="1"/>
  <c r="AU9" i="1" s="1"/>
  <c r="AS13" i="1" a="1"/>
  <c r="AS13" i="1" s="1"/>
  <c r="AU13" i="1" s="1"/>
  <c r="AS18" i="1" a="1"/>
  <c r="AS18" i="1" s="1"/>
  <c r="JV6" i="1"/>
  <c r="IG64" i="1"/>
  <c r="IG48" i="1"/>
  <c r="IG57" i="1"/>
  <c r="IG40" i="1"/>
  <c r="IG68" i="1"/>
  <c r="IG65" i="1"/>
  <c r="IG37" i="1"/>
  <c r="IG46" i="1"/>
  <c r="IG51" i="1"/>
  <c r="IG61" i="1"/>
  <c r="IG67" i="1"/>
  <c r="IG62" i="1"/>
  <c r="IG42" i="1"/>
  <c r="IG63" i="1"/>
  <c r="IG54" i="1"/>
  <c r="H36" i="1"/>
  <c r="IG56" i="1"/>
  <c r="IG43" i="1"/>
  <c r="AP12" i="1" s="1"/>
  <c r="H12" i="1" s="1"/>
  <c r="IG45" i="1"/>
  <c r="IG49" i="1"/>
  <c r="IG59" i="1"/>
  <c r="IG39" i="1"/>
  <c r="IG53" i="1"/>
  <c r="IG50" i="1"/>
  <c r="IG44" i="1"/>
  <c r="AP18" i="1" s="1"/>
  <c r="H18" i="1" s="1"/>
  <c r="KK4" i="1" s="1"/>
  <c r="IG47" i="1"/>
  <c r="IG38" i="1"/>
  <c r="IG58" i="1"/>
  <c r="IG52" i="1"/>
  <c r="IG55" i="1"/>
  <c r="IG41" i="1"/>
  <c r="AP17" i="1" s="1"/>
  <c r="H17" i="1" s="1"/>
  <c r="KJ4" i="1" s="1"/>
  <c r="IG66" i="1"/>
  <c r="B5" i="1"/>
  <c r="AP13" i="1"/>
  <c r="H13" i="1" s="1"/>
  <c r="ET1" i="3"/>
  <c r="H50" i="1"/>
  <c r="A50" i="1" s="1"/>
  <c r="BE11" i="1"/>
  <c r="AG22" i="1"/>
  <c r="KC12" i="1" s="1" a="1"/>
  <c r="KC12" i="1" s="1"/>
  <c r="BE8" i="1"/>
  <c r="BE16" i="1"/>
  <c r="BE15" i="1"/>
  <c r="BE9" i="1"/>
  <c r="BE19" i="1"/>
  <c r="BE12" i="1"/>
  <c r="BE20" i="1"/>
  <c r="BE17" i="1"/>
  <c r="BE10" i="1"/>
  <c r="BE13" i="1"/>
  <c r="BE18" i="1"/>
  <c r="BE14" i="1"/>
  <c r="AF4" i="1"/>
  <c r="D4" i="1"/>
  <c r="A4" i="1" s="1"/>
  <c r="AP10" i="1" l="1"/>
  <c r="H10" i="1" s="1"/>
  <c r="KC4" i="1" s="1"/>
  <c r="AP14" i="1"/>
  <c r="H14" i="1" s="1"/>
  <c r="KG4" i="1" s="1"/>
  <c r="AP11" i="1"/>
  <c r="H11" i="1" s="1"/>
  <c r="KD4" i="1" s="1"/>
  <c r="AP9" i="1"/>
  <c r="H9" i="1" s="1"/>
  <c r="KB4" i="1" s="1"/>
  <c r="KB12" i="1" a="1"/>
  <c r="KB12" i="1" s="1"/>
  <c r="KD12" i="1" a="1"/>
  <c r="KD12" i="1" s="1"/>
  <c r="AP8" i="1"/>
  <c r="KF12" i="1" a="1"/>
  <c r="KF12" i="1" s="1"/>
  <c r="KK12" i="1" a="1"/>
  <c r="KK12" i="1" s="1"/>
  <c r="AP25" i="1"/>
  <c r="K24" i="1" s="1"/>
  <c r="AF22" i="1"/>
  <c r="KA12" i="1" a="1"/>
  <c r="KA12" i="1" s="1"/>
  <c r="KF4" i="1"/>
  <c r="KE4" i="1"/>
  <c r="D5" i="1"/>
  <c r="AF5" i="1"/>
  <c r="AG13" i="1"/>
  <c r="AG20" i="1"/>
  <c r="AG12" i="1"/>
  <c r="AG9" i="1"/>
  <c r="AG16" i="1"/>
  <c r="AG15" i="1"/>
  <c r="AG14" i="1"/>
  <c r="AG19" i="1"/>
  <c r="AG11" i="1"/>
  <c r="AG17" i="1"/>
  <c r="AG8" i="1"/>
  <c r="AG18" i="1"/>
  <c r="AG10" i="1"/>
  <c r="KA30" i="1" l="1"/>
  <c r="KI30" i="1"/>
  <c r="KL30" i="1"/>
  <c r="KJ30" i="1"/>
  <c r="KM30" i="1"/>
  <c r="KH30" i="1"/>
  <c r="KK30" i="1"/>
  <c r="H8" i="1"/>
  <c r="KA4" i="1" s="1"/>
  <c r="E23" i="1"/>
  <c r="AG23" i="1" s="1"/>
  <c r="KF13" i="1" s="1" a="1"/>
  <c r="KF13" i="1" s="1"/>
  <c r="KB30" i="1"/>
  <c r="KC30" i="1"/>
  <c r="KG30" i="1"/>
  <c r="KE30" i="1"/>
  <c r="KF30" i="1"/>
  <c r="KD30" i="1"/>
  <c r="A5" i="1"/>
  <c r="KB13" i="1" l="1" a="1"/>
  <c r="KB13" i="1" s="1"/>
  <c r="KC13" i="1" a="1"/>
  <c r="KC13" i="1" s="1"/>
  <c r="AF23" i="1"/>
  <c r="KD13" i="1" a="1"/>
  <c r="KD13" i="1" s="1"/>
  <c r="KA13" i="1" a="1"/>
  <c r="KA13" i="1" s="1"/>
  <c r="AT10" i="1"/>
  <c r="AT11" i="1"/>
  <c r="AT12" i="1"/>
  <c r="AT18" i="1"/>
  <c r="F25" i="1"/>
  <c r="AG40" i="1"/>
  <c r="AG34" i="1"/>
  <c r="AG25" i="1"/>
  <c r="KA28" i="1" l="1" a="1"/>
  <c r="KA28" i="1" s="1"/>
  <c r="KF28" i="1" a="1"/>
  <c r="KF28" i="1" s="1"/>
  <c r="AF40" i="1"/>
  <c r="AF34" i="1"/>
  <c r="AF25" i="1"/>
  <c r="B38" i="1"/>
  <c r="CK5" i="3" s="1" a="1"/>
  <c r="CK5" i="3" s="1"/>
  <c r="CK1" i="3" s="1"/>
  <c r="B32" i="1"/>
  <c r="CJ5" i="3" s="1" a="1"/>
  <c r="CJ5" i="3" s="1"/>
  <c r="CJ1" i="3" s="1"/>
  <c r="EB4" i="3" l="1" a="1"/>
  <c r="EB4" i="3" s="1"/>
  <c r="EB1" i="3" s="1"/>
  <c r="H32" i="1" s="1"/>
  <c r="A32" i="1" s="1"/>
  <c r="BU5" i="3" a="1"/>
  <c r="BU5" i="3" s="1"/>
  <c r="BU1" i="3" s="1"/>
  <c r="EC4" i="3" a="1"/>
  <c r="EC4" i="3" s="1"/>
  <c r="EC1" i="3" s="1"/>
  <c r="H38" i="1" s="1"/>
  <c r="A38" i="1" s="1"/>
  <c r="BV5" i="3" a="1"/>
  <c r="BV5" i="3" s="1"/>
  <c r="BV1" i="3" s="1"/>
  <c r="BF4" i="3" a="1"/>
  <c r="BF4" i="3" s="1"/>
  <c r="BG4" i="3" a="1"/>
  <c r="BG4" i="3" s="1"/>
  <c r="BG1" i="3" s="1"/>
  <c r="F36" i="1" s="1"/>
  <c r="BF1" i="3" l="1"/>
  <c r="F42" i="1" s="1"/>
  <c r="H42" i="1"/>
  <c r="A42" i="1" s="1"/>
  <c r="AG29" i="1" l="1"/>
  <c r="KB10" i="1" l="1" a="1"/>
  <c r="KB10" i="1" s="1"/>
  <c r="KD10" i="1" a="1"/>
  <c r="KD10" i="1" s="1"/>
  <c r="KF10" i="1" a="1"/>
  <c r="KF10" i="1" s="1"/>
  <c r="KK10" i="1" a="1"/>
  <c r="KK10" i="1" s="1"/>
  <c r="AF29" i="1"/>
  <c r="KA10" i="1" a="1"/>
  <c r="KA10" i="1" s="1"/>
  <c r="B44" i="1"/>
  <c r="B22" i="1"/>
  <c r="CL5" i="3" l="1" a="1"/>
  <c r="CL5" i="3" s="1"/>
  <c r="CL1" i="3" s="1"/>
  <c r="ED4" i="3" a="1"/>
  <c r="ED4" i="3" s="1"/>
  <c r="ED1" i="3" s="1"/>
  <c r="H45" i="1" s="1"/>
  <c r="A45" i="1" s="1"/>
  <c r="BW5" i="3" a="1"/>
  <c r="BW5" i="3" s="1"/>
  <c r="BW1" i="3" s="1"/>
  <c r="AA4" i="3" a="1"/>
  <c r="AA4" i="3" s="1"/>
  <c r="AA1" i="3" s="1"/>
  <c r="F23" i="1" s="1"/>
  <c r="BT5" i="3" a="1"/>
  <c r="BT5" i="3" s="1"/>
  <c r="CI5" i="3" a="1"/>
  <c r="CI5" i="3" s="1"/>
  <c r="CI1" i="3" s="1"/>
  <c r="K4" i="3" a="1"/>
  <c r="K4" i="3" s="1"/>
  <c r="K1" i="3" s="1"/>
  <c r="F22" i="1" s="1"/>
  <c r="AT4" i="3" a="1"/>
  <c r="AT4" i="3" s="1"/>
  <c r="CQ5" i="3" a="1"/>
  <c r="CQ5" i="3" s="1"/>
  <c r="BE4" i="3" a="1"/>
  <c r="BE4" i="3" s="1"/>
  <c r="CW4" i="3" a="1"/>
  <c r="CW4" i="3" s="1"/>
  <c r="H23" i="1" l="1"/>
  <c r="A23" i="1" s="1"/>
  <c r="DM1" i="3"/>
  <c r="A49" i="1"/>
  <c r="H41" i="1"/>
  <c r="A41" i="1" s="1"/>
  <c r="H35" i="1"/>
  <c r="A35" i="1" s="1"/>
  <c r="H29" i="1"/>
  <c r="A29" i="1" s="1"/>
  <c r="BE1" i="3"/>
  <c r="H30" i="1"/>
  <c r="A30" i="1" s="1"/>
  <c r="CW1" i="3"/>
  <c r="H28" i="1"/>
  <c r="A28" i="1" s="1"/>
  <c r="H22" i="1"/>
  <c r="A22" i="1" s="1"/>
  <c r="CQ1" i="3"/>
  <c r="H27" i="1"/>
  <c r="A27" i="1" s="1"/>
  <c r="H24" i="1"/>
  <c r="A24" i="1" s="1"/>
  <c r="AT1" i="3"/>
  <c r="A1" i="1" l="1"/>
  <c r="KA1" i="1" s="1"/>
  <c r="AT9" i="1" l="1"/>
  <c r="AT13" i="1"/>
  <c r="AT8" i="1"/>
  <c r="D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<sst xmlns="http://schemas.openxmlformats.org/spreadsheetml/2006/main" count="20681" uniqueCount="1904">
  <si>
    <t>Start HERE   Select a shell, a finish and a badge.  Then spec out your Ludwig kit.</t>
  </si>
  <si>
    <t>Classic Maple</t>
  </si>
  <si>
    <t>Legacy Mahogany</t>
  </si>
  <si>
    <t>Legacy Exotic</t>
  </si>
  <si>
    <t>Classic Oak</t>
  </si>
  <si>
    <t>Lugs</t>
  </si>
  <si>
    <t>Mounts</t>
  </si>
  <si>
    <t>Spurs</t>
  </si>
  <si>
    <t>Snare Bed</t>
  </si>
  <si>
    <t>Shell</t>
  </si>
  <si>
    <t>Dealer</t>
  </si>
  <si>
    <t>Bass</t>
  </si>
  <si>
    <t>Floor</t>
  </si>
  <si>
    <t>Tom</t>
  </si>
  <si>
    <t>Snare</t>
  </si>
  <si>
    <t>L8</t>
  </si>
  <si>
    <t>LL</t>
  </si>
  <si>
    <t>LM</t>
  </si>
  <si>
    <t>LX</t>
  </si>
  <si>
    <t>LO</t>
  </si>
  <si>
    <t>Type</t>
  </si>
  <si>
    <t>Size</t>
  </si>
  <si>
    <t>ML</t>
  </si>
  <si>
    <t>LI</t>
  </si>
  <si>
    <t>LT</t>
  </si>
  <si>
    <t>SI</t>
  </si>
  <si>
    <t>ST</t>
  </si>
  <si>
    <t>TB</t>
  </si>
  <si>
    <t>Codif</t>
  </si>
  <si>
    <t>Shell Mount</t>
  </si>
  <si>
    <t>Drum 3</t>
  </si>
  <si>
    <t>Drum 4</t>
  </si>
  <si>
    <t>Drum 5</t>
  </si>
  <si>
    <t>Drum 6</t>
  </si>
  <si>
    <t>Drum 7</t>
  </si>
  <si>
    <t>Drum 8</t>
  </si>
  <si>
    <t>Drum 9</t>
  </si>
  <si>
    <t>Drum 10</t>
  </si>
  <si>
    <t>Drum 11</t>
  </si>
  <si>
    <t>Drum 12</t>
  </si>
  <si>
    <t>Drum 13</t>
  </si>
  <si>
    <t>Finish</t>
  </si>
  <si>
    <t>PO</t>
  </si>
  <si>
    <t>W</t>
  </si>
  <si>
    <t>v_size</t>
  </si>
  <si>
    <t>12_18B</t>
  </si>
  <si>
    <t>Less Mount and Holder</t>
  </si>
  <si>
    <t>XX</t>
  </si>
  <si>
    <t>Badge</t>
  </si>
  <si>
    <t>14_18B</t>
  </si>
  <si>
    <t>v_shell</t>
  </si>
  <si>
    <t>16_18B</t>
  </si>
  <si>
    <t>LS</t>
  </si>
  <si>
    <t>Qty</t>
  </si>
  <si>
    <t>12_20B</t>
  </si>
  <si>
    <t>B</t>
  </si>
  <si>
    <t>F</t>
  </si>
  <si>
    <t>Descriptive Item #</t>
  </si>
  <si>
    <t>14_20B</t>
  </si>
  <si>
    <t>A2</t>
  </si>
  <si>
    <t>MH</t>
  </si>
  <si>
    <t>5.5x14 8 Lug Snare</t>
  </si>
  <si>
    <t>16_20B</t>
  </si>
  <si>
    <t>Satin Natural</t>
  </si>
  <si>
    <t>18_20B</t>
  </si>
  <si>
    <t>6x12 Snare</t>
  </si>
  <si>
    <t>LB</t>
  </si>
  <si>
    <t>12_22B</t>
  </si>
  <si>
    <t>20_20B</t>
  </si>
  <si>
    <t>3.5x13 Snare</t>
  </si>
  <si>
    <t>T</t>
  </si>
  <si>
    <t>14_22B</t>
  </si>
  <si>
    <t>6x13 Snare</t>
  </si>
  <si>
    <t>LF</t>
  </si>
  <si>
    <t>16_22B</t>
  </si>
  <si>
    <t>4x14 Snare</t>
  </si>
  <si>
    <t>S</t>
  </si>
  <si>
    <t>18_22B</t>
  </si>
  <si>
    <t>AX</t>
  </si>
  <si>
    <t>Black Cat</t>
  </si>
  <si>
    <t>5x14 Snare</t>
  </si>
  <si>
    <t>20_22B</t>
  </si>
  <si>
    <t>6.5x14 Snare</t>
  </si>
  <si>
    <t>12_24B</t>
  </si>
  <si>
    <t>8x14 Snare</t>
  </si>
  <si>
    <t>14_24B</t>
  </si>
  <si>
    <t>No Mounting Bracket</t>
  </si>
  <si>
    <t>4x14 8 Lug Snare</t>
  </si>
  <si>
    <t>16_24B</t>
  </si>
  <si>
    <t>5x14 8 Lug Snare</t>
  </si>
  <si>
    <t>18_24B</t>
  </si>
  <si>
    <t>6.5x14 8 Lug Snare</t>
  </si>
  <si>
    <t>FinType</t>
  </si>
  <si>
    <t>20_24B</t>
  </si>
  <si>
    <t>AM</t>
  </si>
  <si>
    <t>12_26B</t>
  </si>
  <si>
    <t>TM</t>
  </si>
  <si>
    <t>Fine tune the details here.</t>
  </si>
  <si>
    <t>Standard Options:</t>
  </si>
  <si>
    <t>Change to:</t>
  </si>
  <si>
    <t>14_26B</t>
  </si>
  <si>
    <t>Bass Drum Details</t>
  </si>
  <si>
    <t xml:space="preserve">Hoops </t>
  </si>
  <si>
    <t>Change to</t>
  </si>
  <si>
    <t>16_26B</t>
  </si>
  <si>
    <t>Phonic</t>
  </si>
  <si>
    <t>Inlay/Accent</t>
  </si>
  <si>
    <t>Tone Control</t>
  </si>
  <si>
    <t xml:space="preserve">Spurs </t>
  </si>
  <si>
    <t>Front Head</t>
  </si>
  <si>
    <t>12_14F</t>
  </si>
  <si>
    <t>Butt</t>
  </si>
  <si>
    <t>Batter Head</t>
  </si>
  <si>
    <t>13_14F</t>
  </si>
  <si>
    <t>Tension Rods</t>
  </si>
  <si>
    <t>Keyrods</t>
  </si>
  <si>
    <t>14_14F</t>
  </si>
  <si>
    <t>None</t>
  </si>
  <si>
    <t>13_15F</t>
  </si>
  <si>
    <t>PLH1152 Triad Brkts/Legs</t>
  </si>
  <si>
    <t>Batter</t>
  </si>
  <si>
    <t>Bearing Edge</t>
  </si>
  <si>
    <t>14_15F</t>
  </si>
  <si>
    <t>Reso</t>
  </si>
  <si>
    <t>Double / Single Head</t>
  </si>
  <si>
    <t>13_16F</t>
  </si>
  <si>
    <t>14_16F</t>
  </si>
  <si>
    <t>Tom Tom Details</t>
  </si>
  <si>
    <t>15_16F</t>
  </si>
  <si>
    <t>16_16F</t>
  </si>
  <si>
    <t>Bottom Head</t>
  </si>
  <si>
    <t>16_18F</t>
  </si>
  <si>
    <t>7_6T</t>
  </si>
  <si>
    <t>8_6T</t>
  </si>
  <si>
    <t>7_8T</t>
  </si>
  <si>
    <t>Floor Tom Details</t>
  </si>
  <si>
    <t>8_8T</t>
  </si>
  <si>
    <t>7_10T</t>
  </si>
  <si>
    <t>7H_10T</t>
  </si>
  <si>
    <t>8_10T</t>
  </si>
  <si>
    <t>9_10T</t>
  </si>
  <si>
    <t>8_12T</t>
  </si>
  <si>
    <t>Snare Details</t>
  </si>
  <si>
    <t>9_12T</t>
  </si>
  <si>
    <t>10_12T</t>
  </si>
  <si>
    <t>Hoops</t>
  </si>
  <si>
    <t>11_12T</t>
  </si>
  <si>
    <t>9_13T</t>
  </si>
  <si>
    <t>10_13T</t>
  </si>
  <si>
    <t>11_13T</t>
  </si>
  <si>
    <t>12_13T</t>
  </si>
  <si>
    <t>9_14T</t>
  </si>
  <si>
    <t>MPLBDCUSTOM</t>
  </si>
  <si>
    <t>LCBDCUSTOM</t>
  </si>
  <si>
    <t>LMBDCUSTOM</t>
  </si>
  <si>
    <t>LXBDCUSTOM</t>
  </si>
  <si>
    <t>OAKBDCUSTOM</t>
  </si>
  <si>
    <t>10_14T</t>
  </si>
  <si>
    <t>MPLTTCUSTOM</t>
  </si>
  <si>
    <t>LCTTCUSTOM</t>
  </si>
  <si>
    <t>LMTTCUSTOM</t>
  </si>
  <si>
    <t>LXTTCUSTOM</t>
  </si>
  <si>
    <t>OAKTTCUSTOM</t>
  </si>
  <si>
    <t>11_14T</t>
  </si>
  <si>
    <t>MPLFTCUSTOM</t>
  </si>
  <si>
    <t>LCFTCUSTOM</t>
  </si>
  <si>
    <t>LMFTCUSTOM</t>
  </si>
  <si>
    <t>LXFTCUSTOM</t>
  </si>
  <si>
    <t>OAKFTCUSTOM</t>
  </si>
  <si>
    <t>12_14T</t>
  </si>
  <si>
    <t>MPLSDCUSTOM</t>
  </si>
  <si>
    <t>LCSDCUSTOM</t>
  </si>
  <si>
    <t>LMSDCUSTOM</t>
  </si>
  <si>
    <t>LXSDCUSTOM</t>
  </si>
  <si>
    <t>OAKSDCUSTOM</t>
  </si>
  <si>
    <t>13_14T</t>
  </si>
  <si>
    <t>14_14T</t>
  </si>
  <si>
    <t>V</t>
  </si>
  <si>
    <t>12_15T</t>
  </si>
  <si>
    <t>13_15T</t>
  </si>
  <si>
    <t>14_15T</t>
  </si>
  <si>
    <t>13_16T</t>
  </si>
  <si>
    <t>14_16T</t>
  </si>
  <si>
    <t>15_16T</t>
  </si>
  <si>
    <t>16_16T</t>
  </si>
  <si>
    <t>PT</t>
  </si>
  <si>
    <t>6_12S</t>
  </si>
  <si>
    <t>3H_13S</t>
  </si>
  <si>
    <t>IOV</t>
  </si>
  <si>
    <t>6_13S</t>
  </si>
  <si>
    <t>4_14S</t>
  </si>
  <si>
    <t>5_14S</t>
  </si>
  <si>
    <t>5H_14S</t>
  </si>
  <si>
    <t>6H_14S</t>
  </si>
  <si>
    <t>8_14S</t>
  </si>
  <si>
    <t>4_14x8S</t>
  </si>
  <si>
    <t>5_14x8S</t>
  </si>
  <si>
    <t>5H_14x8S</t>
  </si>
  <si>
    <t>6H_14x8S</t>
  </si>
  <si>
    <t>Blue/Olive</t>
  </si>
  <si>
    <t>v_finType</t>
  </si>
  <si>
    <t>Effective</t>
  </si>
  <si>
    <t>Result</t>
  </si>
  <si>
    <t>10_14S</t>
  </si>
  <si>
    <t>A4</t>
  </si>
  <si>
    <t>16_18T</t>
  </si>
  <si>
    <t>6_6T</t>
  </si>
  <si>
    <t>6_8T</t>
  </si>
  <si>
    <t>These Drums</t>
  </si>
  <si>
    <t>lva_shell</t>
  </si>
  <si>
    <t>Code</t>
  </si>
  <si>
    <t>Description</t>
  </si>
  <si>
    <t>Legacy Classic</t>
  </si>
  <si>
    <t>ir_shell</t>
  </si>
  <si>
    <t>Calculation for Shell</t>
  </si>
  <si>
    <t>Parent</t>
  </si>
  <si>
    <t>MPLBD</t>
  </si>
  <si>
    <t>MPLFT</t>
  </si>
  <si>
    <t>MPLTT</t>
  </si>
  <si>
    <t>MPLSD</t>
  </si>
  <si>
    <t>LCBD</t>
  </si>
  <si>
    <t>LCFT</t>
  </si>
  <si>
    <t>LCTT</t>
  </si>
  <si>
    <t>LCSD</t>
  </si>
  <si>
    <t>LXBD</t>
  </si>
  <si>
    <t>LXFT</t>
  </si>
  <si>
    <t>LXTT</t>
  </si>
  <si>
    <t>LXSD</t>
  </si>
  <si>
    <t>LMBD</t>
  </si>
  <si>
    <t>LMFT</t>
  </si>
  <si>
    <t>LMTT</t>
  </si>
  <si>
    <t>LMSD</t>
  </si>
  <si>
    <t>OAKBD</t>
  </si>
  <si>
    <t>OAKFT</t>
  </si>
  <si>
    <t>OAKTT</t>
  </si>
  <si>
    <t>OAKSD</t>
  </si>
  <si>
    <t>Bass Drum</t>
  </si>
  <si>
    <t>Floor Tom</t>
  </si>
  <si>
    <t>Tom Tom</t>
  </si>
  <si>
    <t>Snare Drum</t>
  </si>
  <si>
    <t>lva_type</t>
  </si>
  <si>
    <t>ir_type</t>
  </si>
  <si>
    <t>v_type</t>
  </si>
  <si>
    <t>lva_parent</t>
  </si>
  <si>
    <t>Name</t>
  </si>
  <si>
    <t>Short Description</t>
  </si>
  <si>
    <t>Long Description</t>
  </si>
  <si>
    <t>Site ID</t>
  </si>
  <si>
    <t>Parent Item Name</t>
  </si>
  <si>
    <t>Classic Maple Bass Drum</t>
  </si>
  <si>
    <t>63P</t>
  </si>
  <si>
    <t>Classic Maple Floor Tom</t>
  </si>
  <si>
    <t>Classic Maple Tom Tom</t>
  </si>
  <si>
    <t>Classic Maple Snare</t>
  </si>
  <si>
    <t>Legacy Classic Bass Drum</t>
  </si>
  <si>
    <t>Legacy Classic Floor Tom</t>
  </si>
  <si>
    <t>Legacy Classic Tom Tom</t>
  </si>
  <si>
    <t>Legacy Classic Snare Drum</t>
  </si>
  <si>
    <t>Legacy Exotic Bass Drum</t>
  </si>
  <si>
    <t>Legacy Exotic Floor Tom</t>
  </si>
  <si>
    <t>Legacy Exotic Tom Tom</t>
  </si>
  <si>
    <t>Legacy Exotic Snare Drum</t>
  </si>
  <si>
    <t>Legacy Mahogany Bass Drum</t>
  </si>
  <si>
    <t>Legacy Mahogany Floor Tom</t>
  </si>
  <si>
    <t>Legacy Mahogany Tom Tom</t>
  </si>
  <si>
    <t>Legacy Mahogany Snare</t>
  </si>
  <si>
    <t>Classic Oak Bass Drum</t>
  </si>
  <si>
    <t xml:space="preserve">Classic Oak Floor Tom </t>
  </si>
  <si>
    <t>Classic Oak Tom Tom</t>
  </si>
  <si>
    <t>Classic Oak Snare Drum</t>
  </si>
  <si>
    <t>Finish Options</t>
  </si>
  <si>
    <t>Fin Type</t>
  </si>
  <si>
    <t>Z6</t>
  </si>
  <si>
    <t>Birdseye Maple</t>
  </si>
  <si>
    <t>Exotic IO Veneer</t>
  </si>
  <si>
    <t>Z4</t>
  </si>
  <si>
    <t>53</t>
  </si>
  <si>
    <t>African Bubinga</t>
  </si>
  <si>
    <t>Exotic Veneer</t>
  </si>
  <si>
    <t>50</t>
  </si>
  <si>
    <t>B1</t>
  </si>
  <si>
    <t>Bubinga, Nat/Mahogany Burst</t>
  </si>
  <si>
    <t>S1</t>
  </si>
  <si>
    <t>S2</t>
  </si>
  <si>
    <t>AB</t>
  </si>
  <si>
    <t>Aqua Burst</t>
  </si>
  <si>
    <t>Sprayed</t>
  </si>
  <si>
    <t>GN</t>
  </si>
  <si>
    <t>K3</t>
  </si>
  <si>
    <t>Blue Burst</t>
  </si>
  <si>
    <t>K2</t>
  </si>
  <si>
    <t>Brown Burst</t>
  </si>
  <si>
    <t>BN</t>
  </si>
  <si>
    <t>Burnt Natural (burst)</t>
  </si>
  <si>
    <t>0Y</t>
  </si>
  <si>
    <t>Charcoal Shadow</t>
  </si>
  <si>
    <t>0L</t>
  </si>
  <si>
    <t>Cherry Stain</t>
  </si>
  <si>
    <t>DR</t>
  </si>
  <si>
    <t>RN</t>
  </si>
  <si>
    <t>Golden Slumbers (burst)</t>
  </si>
  <si>
    <t>K4</t>
  </si>
  <si>
    <t>Green Burst</t>
  </si>
  <si>
    <t>HB</t>
  </si>
  <si>
    <t>Heritage Blue</t>
  </si>
  <si>
    <t>HG</t>
  </si>
  <si>
    <t>Heritage Green</t>
  </si>
  <si>
    <t>0M</t>
  </si>
  <si>
    <t>Mahogany Stain</t>
  </si>
  <si>
    <t>0N</t>
  </si>
  <si>
    <t>Natural Maple</t>
  </si>
  <si>
    <t>BH</t>
  </si>
  <si>
    <t>Night Oak</t>
  </si>
  <si>
    <t>0T</t>
  </si>
  <si>
    <t>Sable Classic Coat</t>
  </si>
  <si>
    <t>SY</t>
  </si>
  <si>
    <t>Satin Charcoal</t>
  </si>
  <si>
    <t>SL</t>
  </si>
  <si>
    <t>Satin Cherry</t>
  </si>
  <si>
    <t>SM</t>
  </si>
  <si>
    <t>Satin Mahogany</t>
  </si>
  <si>
    <t>SN</t>
  </si>
  <si>
    <t>SK</t>
  </si>
  <si>
    <t>Smoke</t>
  </si>
  <si>
    <t>TW</t>
  </si>
  <si>
    <t>Tennessee Whiskey</t>
  </si>
  <si>
    <t>VB</t>
  </si>
  <si>
    <t>Vintage Bronze</t>
  </si>
  <si>
    <t>Vintage Mahogany</t>
  </si>
  <si>
    <t>ZZ</t>
  </si>
  <si>
    <t>AO</t>
  </si>
  <si>
    <t>Aged Onyx</t>
  </si>
  <si>
    <t>Wrap</t>
  </si>
  <si>
    <t>0G</t>
  </si>
  <si>
    <t>Black Cortex</t>
  </si>
  <si>
    <t>2P</t>
  </si>
  <si>
    <t>Blue Olive Oyster</t>
  </si>
  <si>
    <t>32</t>
  </si>
  <si>
    <t>Blue Sparkle</t>
  </si>
  <si>
    <t>A3</t>
  </si>
  <si>
    <t>Citrus Mod</t>
  </si>
  <si>
    <t>87</t>
  </si>
  <si>
    <t>Classic Olive Pearl</t>
  </si>
  <si>
    <t>CP</t>
  </si>
  <si>
    <t>35</t>
  </si>
  <si>
    <t>Customer Supply</t>
  </si>
  <si>
    <t>A5</t>
  </si>
  <si>
    <t>Digital Blk Sprkl</t>
  </si>
  <si>
    <t>FB</t>
  </si>
  <si>
    <t>Fire Burst</t>
  </si>
  <si>
    <t>GL</t>
  </si>
  <si>
    <t>Glacier Blue</t>
  </si>
  <si>
    <t>33</t>
  </si>
  <si>
    <t>Gold Sparkle</t>
  </si>
  <si>
    <t>54</t>
  </si>
  <si>
    <t>Green Sparkle</t>
  </si>
  <si>
    <t>H1</t>
  </si>
  <si>
    <t>Hybrid Black Sparkle</t>
  </si>
  <si>
    <t>H2</t>
  </si>
  <si>
    <t>Hybrid Copper Sparkle</t>
  </si>
  <si>
    <t>Lemon Oyster</t>
  </si>
  <si>
    <t>51</t>
  </si>
  <si>
    <t>Mod Orange</t>
  </si>
  <si>
    <t>86</t>
  </si>
  <si>
    <t>Olive Oyster</t>
  </si>
  <si>
    <t>VP</t>
  </si>
  <si>
    <t>Vintage Pink Oyster</t>
  </si>
  <si>
    <t>27</t>
  </si>
  <si>
    <t>Red Sparkle</t>
  </si>
  <si>
    <t>61</t>
  </si>
  <si>
    <t>Red Swirl</t>
  </si>
  <si>
    <t>AG</t>
  </si>
  <si>
    <t>Silver Silk</t>
  </si>
  <si>
    <t>0S</t>
  </si>
  <si>
    <t>Silver Sparkle</t>
  </si>
  <si>
    <t>52</t>
  </si>
  <si>
    <t>Sky Blue Pearl</t>
  </si>
  <si>
    <t>TP</t>
  </si>
  <si>
    <t>1Q</t>
  </si>
  <si>
    <t>Vintage Black Oyster</t>
  </si>
  <si>
    <t>2Q</t>
  </si>
  <si>
    <t>Vintage Blue Oyster</t>
  </si>
  <si>
    <t>NM</t>
  </si>
  <si>
    <t>Vintage White Marine</t>
  </si>
  <si>
    <t>0F</t>
  </si>
  <si>
    <t>White Cortex</t>
  </si>
  <si>
    <t>4A</t>
  </si>
  <si>
    <t>0P</t>
  </si>
  <si>
    <t>White Marine Pearl</t>
  </si>
  <si>
    <t>lva_finish</t>
  </si>
  <si>
    <t>c_finish</t>
  </si>
  <si>
    <t>ir_finish</t>
  </si>
  <si>
    <t>result</t>
  </si>
  <si>
    <t>lva_badge</t>
  </si>
  <si>
    <t>BO</t>
  </si>
  <si>
    <t>BO2</t>
  </si>
  <si>
    <t>Two Blue/Olive Badges</t>
  </si>
  <si>
    <t>SGK</t>
  </si>
  <si>
    <t>SGK2</t>
  </si>
  <si>
    <t>GC</t>
  </si>
  <si>
    <t>Gold Cast</t>
  </si>
  <si>
    <t>GC2</t>
  </si>
  <si>
    <t>Two Gold Cast</t>
  </si>
  <si>
    <t>OAK</t>
  </si>
  <si>
    <t>OAK2</t>
  </si>
  <si>
    <t>for Badges, I'm only going to include single badges</t>
  </si>
  <si>
    <t>in the selection list.  We can get clever about one or</t>
  </si>
  <si>
    <t xml:space="preserve">two badges later, in the print area. </t>
  </si>
  <si>
    <t xml:space="preserve">In the ir_, I'll used 'LB' for the type and 'NBKT' for the </t>
  </si>
  <si>
    <t>v_tomBrkt value to make sure that only single</t>
  </si>
  <si>
    <t xml:space="preserve">badge values appear. </t>
  </si>
  <si>
    <t>ir_badge</t>
  </si>
  <si>
    <t>v_tomBrkt</t>
  </si>
  <si>
    <t>NBKT</t>
  </si>
  <si>
    <t>LGK</t>
  </si>
  <si>
    <t>L_RE</t>
  </si>
  <si>
    <t>L_RK</t>
  </si>
  <si>
    <t>L_RL</t>
  </si>
  <si>
    <t>L_RT</t>
  </si>
  <si>
    <t>P1216D</t>
  </si>
  <si>
    <t>LGK2</t>
  </si>
  <si>
    <t>P1762B</t>
  </si>
  <si>
    <t>P7185A</t>
  </si>
  <si>
    <t>P7202A</t>
  </si>
  <si>
    <t>PLH1150</t>
  </si>
  <si>
    <t>PM0046</t>
  </si>
  <si>
    <t>Also, leaving out the anniversary badges</t>
  </si>
  <si>
    <t>Badge Options</t>
  </si>
  <si>
    <t>dv_badge</t>
  </si>
  <si>
    <t>LSb</t>
  </si>
  <si>
    <t>Sm Gold Kstn w/SN</t>
  </si>
  <si>
    <t>Two Sm Gold Kstn</t>
  </si>
  <si>
    <t>Two Lg Gold Kstn</t>
  </si>
  <si>
    <t>c_badge</t>
  </si>
  <si>
    <t>Two Classic Oak</t>
  </si>
  <si>
    <t>c_Type</t>
  </si>
  <si>
    <t>lva_size</t>
  </si>
  <si>
    <t>6x8 Tom</t>
  </si>
  <si>
    <t>16x18 Tom</t>
  </si>
  <si>
    <t>14_28B</t>
  </si>
  <si>
    <t>16_28B</t>
  </si>
  <si>
    <t>7_14S</t>
  </si>
  <si>
    <t>7x14 Snare</t>
  </si>
  <si>
    <t>10x14 Snare</t>
  </si>
  <si>
    <t>Type??</t>
  </si>
  <si>
    <t>ir_size</t>
  </si>
  <si>
    <t>Don't know what this type code is for</t>
  </si>
  <si>
    <t>Drum 1</t>
  </si>
  <si>
    <t>Drum 2</t>
  </si>
  <si>
    <t>c_size</t>
  </si>
  <si>
    <t>6x6 Tom</t>
  </si>
  <si>
    <t>7x6 Tom</t>
  </si>
  <si>
    <t>8x6 Tom</t>
  </si>
  <si>
    <t>7x8 Tom</t>
  </si>
  <si>
    <t>8x8 Tom</t>
  </si>
  <si>
    <t>7x10 Tom</t>
  </si>
  <si>
    <t>7.5x10 Tom</t>
  </si>
  <si>
    <t>8x10 Tom</t>
  </si>
  <si>
    <t>9x10 Tom</t>
  </si>
  <si>
    <t>8x12 Tom</t>
  </si>
  <si>
    <t>9x12 Tom</t>
  </si>
  <si>
    <t>10x12 Tom</t>
  </si>
  <si>
    <t>11x12 Tom</t>
  </si>
  <si>
    <t>9x13 Tom</t>
  </si>
  <si>
    <t>10x13 Tom</t>
  </si>
  <si>
    <t>11x13 Tom</t>
  </si>
  <si>
    <t>12x13 Tom</t>
  </si>
  <si>
    <t>9x14 Tom</t>
  </si>
  <si>
    <t>10x14 Tom</t>
  </si>
  <si>
    <t>11x14 Tom</t>
  </si>
  <si>
    <t>12x14 Tom</t>
  </si>
  <si>
    <t>13x14 Tom</t>
  </si>
  <si>
    <t>14x14 Tom</t>
  </si>
  <si>
    <t>12x15 Tom</t>
  </si>
  <si>
    <t>13x15 Tom</t>
  </si>
  <si>
    <t>14x15 Tom</t>
  </si>
  <si>
    <t>13x16 Tom</t>
  </si>
  <si>
    <t>14x16 Tom</t>
  </si>
  <si>
    <t>15x16 Tom</t>
  </si>
  <si>
    <t>16x16 Tom</t>
  </si>
  <si>
    <t>12x14 Floor</t>
  </si>
  <si>
    <t>13x14 Floor</t>
  </si>
  <si>
    <t>14x14 Floor</t>
  </si>
  <si>
    <t>13x15 Floor</t>
  </si>
  <si>
    <t>14x15 Floor</t>
  </si>
  <si>
    <t>13x16 Floor</t>
  </si>
  <si>
    <t>14x16 Floor</t>
  </si>
  <si>
    <t>15x16 Floor</t>
  </si>
  <si>
    <t>16x16 Floor</t>
  </si>
  <si>
    <t>16x18 Floor</t>
  </si>
  <si>
    <t>12x18 Bass</t>
  </si>
  <si>
    <t>14x18 Bass</t>
  </si>
  <si>
    <t>16x18 Bass</t>
  </si>
  <si>
    <t>12x20 Bass</t>
  </si>
  <si>
    <t>14x20 Bass</t>
  </si>
  <si>
    <t>16x20 Bass</t>
  </si>
  <si>
    <t>18x20 Bass</t>
  </si>
  <si>
    <t>20x20 Bass</t>
  </si>
  <si>
    <t>12x22 Bass</t>
  </si>
  <si>
    <t>14x22 Bass</t>
  </si>
  <si>
    <t>16x22 Bass</t>
  </si>
  <si>
    <t>18x22 Bass</t>
  </si>
  <si>
    <t>20x22 Bass</t>
  </si>
  <si>
    <t>12x24 Bass</t>
  </si>
  <si>
    <t>14x24 Bass</t>
  </si>
  <si>
    <t>16x24 Bass</t>
  </si>
  <si>
    <t>18x24 Bass</t>
  </si>
  <si>
    <t>20x24 Bass</t>
  </si>
  <si>
    <t>12x26 Bass</t>
  </si>
  <si>
    <t>14x26 Bass</t>
  </si>
  <si>
    <t>16x26 Bass</t>
  </si>
  <si>
    <t>14x28 Bass</t>
  </si>
  <si>
    <t>16x28 Bass</t>
  </si>
  <si>
    <t>Size options</t>
  </si>
  <si>
    <t>lva_lugs</t>
  </si>
  <si>
    <t>Small Twin Lugs</t>
  </si>
  <si>
    <t>Large Twin Lugs</t>
  </si>
  <si>
    <t>Tube Lugs</t>
  </si>
  <si>
    <t>CL</t>
  </si>
  <si>
    <t>Mini Classic Lugs</t>
  </si>
  <si>
    <t>KS</t>
  </si>
  <si>
    <t>Keystone Lugs</t>
  </si>
  <si>
    <t>ir_lugs</t>
  </si>
  <si>
    <t>lugs</t>
  </si>
  <si>
    <t>3H_14S</t>
  </si>
  <si>
    <t>c_lugs</t>
  </si>
  <si>
    <t>size</t>
  </si>
  <si>
    <t>Large Imperial Lugs</t>
  </si>
  <si>
    <t>Small Imperial Lugs</t>
  </si>
  <si>
    <t>Piccolo Twin Lugs</t>
  </si>
  <si>
    <t>Lug options</t>
  </si>
  <si>
    <t>Bass Drum = Tom Holder</t>
  </si>
  <si>
    <t>Floor Tom = Legs</t>
  </si>
  <si>
    <t>Tom Tom = Bracket</t>
  </si>
  <si>
    <t>Snare Drum = Throw</t>
  </si>
  <si>
    <t>lva_tom_holder</t>
  </si>
  <si>
    <t>NMT</t>
  </si>
  <si>
    <t>P1610D</t>
  </si>
  <si>
    <t xml:space="preserve">Ludwig Bass Casting </t>
  </si>
  <si>
    <t>LR2981MT</t>
  </si>
  <si>
    <t>Rocker Single Tom Holder</t>
  </si>
  <si>
    <t>LR2980MT</t>
  </si>
  <si>
    <t>Rocker Double Tom Holder</t>
  </si>
  <si>
    <t>PM0062</t>
  </si>
  <si>
    <t>ATLAS Bracket Only</t>
  </si>
  <si>
    <t>LAP2984MT</t>
  </si>
  <si>
    <t>ATLAS Double Tom Holder</t>
  </si>
  <si>
    <t>LAP2985MT</t>
  </si>
  <si>
    <t>ATLAS Single Tom Holder</t>
  </si>
  <si>
    <t>LAC2983MT</t>
  </si>
  <si>
    <t>ATLAS Arch</t>
  </si>
  <si>
    <t>ir_tomHolder</t>
  </si>
  <si>
    <t>v_lugs</t>
  </si>
  <si>
    <t>lva_legs</t>
  </si>
  <si>
    <t>v_legs</t>
  </si>
  <si>
    <t>LC5023TL</t>
  </si>
  <si>
    <t>LTL</t>
  </si>
  <si>
    <t>No Legs or Drilling</t>
  </si>
  <si>
    <t>PLH1152</t>
  </si>
  <si>
    <t>ir_legs</t>
  </si>
  <si>
    <t>v_dblSngl</t>
  </si>
  <si>
    <t>DH</t>
  </si>
  <si>
    <t>SH</t>
  </si>
  <si>
    <t>For Bass Drums</t>
  </si>
  <si>
    <t>for Floor Toms</t>
  </si>
  <si>
    <t>lva_tomBrkt</t>
  </si>
  <si>
    <t>TX</t>
  </si>
  <si>
    <t>ir_tomBrkt</t>
  </si>
  <si>
    <t>lva_throwoff</t>
  </si>
  <si>
    <t>v_throwoff</t>
  </si>
  <si>
    <t>P85</t>
  </si>
  <si>
    <t>P85 Supraphonic</t>
  </si>
  <si>
    <t>P86C</t>
  </si>
  <si>
    <t>P86C Millennium</t>
  </si>
  <si>
    <t>P80</t>
  </si>
  <si>
    <t>P80 Piccolo</t>
  </si>
  <si>
    <t>P88</t>
  </si>
  <si>
    <t>P88 Throwoff</t>
  </si>
  <si>
    <t>ir_throwoff</t>
  </si>
  <si>
    <t>for Tom Toms</t>
  </si>
  <si>
    <t>for Snare Drums</t>
  </si>
  <si>
    <t>c_legs</t>
  </si>
  <si>
    <t>c_tomHolder</t>
  </si>
  <si>
    <t>c_tomBrkt</t>
  </si>
  <si>
    <t>c_throwoff</t>
  </si>
  <si>
    <t>dcHoops</t>
  </si>
  <si>
    <t>prd_size</t>
  </si>
  <si>
    <t>prd_lugs</t>
  </si>
  <si>
    <t>prd_tom_holder</t>
  </si>
  <si>
    <t>v_tom_holder</t>
  </si>
  <si>
    <t>prd_legs</t>
  </si>
  <si>
    <t>prd_tomBrkt</t>
  </si>
  <si>
    <t>prd_throwoff</t>
  </si>
  <si>
    <t>prd_finType</t>
  </si>
  <si>
    <t>LLB328</t>
  </si>
  <si>
    <t>LLB528</t>
  </si>
  <si>
    <t>LLB428</t>
  </si>
  <si>
    <t>LCB728</t>
  </si>
  <si>
    <t>LLB348</t>
  </si>
  <si>
    <t>LLB548</t>
  </si>
  <si>
    <t>LLB448</t>
  </si>
  <si>
    <t>LCB748</t>
  </si>
  <si>
    <t>LLB368</t>
  </si>
  <si>
    <t>LLB568</t>
  </si>
  <si>
    <t>LLB468</t>
  </si>
  <si>
    <t>LCB768</t>
  </si>
  <si>
    <t>LLB320</t>
  </si>
  <si>
    <t>LLB520</t>
  </si>
  <si>
    <t>LLB420</t>
  </si>
  <si>
    <t>LCB720</t>
  </si>
  <si>
    <t>LLB340</t>
  </si>
  <si>
    <t>LLB540</t>
  </si>
  <si>
    <t>LLB440</t>
  </si>
  <si>
    <t>LCB740</t>
  </si>
  <si>
    <t>LLB360</t>
  </si>
  <si>
    <t>LLB560</t>
  </si>
  <si>
    <t>LLB460</t>
  </si>
  <si>
    <t>LCB760</t>
  </si>
  <si>
    <t>LLB380</t>
  </si>
  <si>
    <t>LLB580</t>
  </si>
  <si>
    <t>LLB480</t>
  </si>
  <si>
    <t>LCB780</t>
  </si>
  <si>
    <t>LLB300</t>
  </si>
  <si>
    <t>LLB500</t>
  </si>
  <si>
    <t>LLB400</t>
  </si>
  <si>
    <t>LLB322</t>
  </si>
  <si>
    <t>LLB522</t>
  </si>
  <si>
    <t>LLB422</t>
  </si>
  <si>
    <t>LCB722</t>
  </si>
  <si>
    <t>LLB342</t>
  </si>
  <si>
    <t>LLB542</t>
  </si>
  <si>
    <t>LLB442</t>
  </si>
  <si>
    <t>LCB742</t>
  </si>
  <si>
    <t>LLB362</t>
  </si>
  <si>
    <t>LLB562</t>
  </si>
  <si>
    <t>LLB462</t>
  </si>
  <si>
    <t>LCB762</t>
  </si>
  <si>
    <t>LLB382</t>
  </si>
  <si>
    <t>LLB582</t>
  </si>
  <si>
    <t>LLB482</t>
  </si>
  <si>
    <t>LCB782</t>
  </si>
  <si>
    <t>LLB302</t>
  </si>
  <si>
    <t>LLB502</t>
  </si>
  <si>
    <t>LLB402</t>
  </si>
  <si>
    <t>LCB702</t>
  </si>
  <si>
    <t>LLB324</t>
  </si>
  <si>
    <t>LLB524</t>
  </si>
  <si>
    <t>LLB424</t>
  </si>
  <si>
    <t>LCB724</t>
  </si>
  <si>
    <t>LLB344</t>
  </si>
  <si>
    <t>LLB544</t>
  </si>
  <si>
    <t>LLB444</t>
  </si>
  <si>
    <t>LCB744</t>
  </si>
  <si>
    <t>LLB364</t>
  </si>
  <si>
    <t>LLB564</t>
  </si>
  <si>
    <t>LLB464</t>
  </si>
  <si>
    <t>LCB764</t>
  </si>
  <si>
    <t>LLB384</t>
  </si>
  <si>
    <t>LLB584</t>
  </si>
  <si>
    <t>LLB484</t>
  </si>
  <si>
    <t>LCB784</t>
  </si>
  <si>
    <t>LLB304</t>
  </si>
  <si>
    <t>LLB504</t>
  </si>
  <si>
    <t>LLB404</t>
  </si>
  <si>
    <t>LCB704</t>
  </si>
  <si>
    <t>LLB326</t>
  </si>
  <si>
    <t>LLB526</t>
  </si>
  <si>
    <t>LLB426</t>
  </si>
  <si>
    <t>LCB726</t>
  </si>
  <si>
    <t>LLB346</t>
  </si>
  <si>
    <t>LLB546</t>
  </si>
  <si>
    <t>LLB446</t>
  </si>
  <si>
    <t>LCB746</t>
  </si>
  <si>
    <t>LLB366</t>
  </si>
  <si>
    <t>LLB566</t>
  </si>
  <si>
    <t>LLB466</t>
  </si>
  <si>
    <t>LCB766</t>
  </si>
  <si>
    <t>LLF324</t>
  </si>
  <si>
    <t>LLF524</t>
  </si>
  <si>
    <t>LLF424</t>
  </si>
  <si>
    <t>LCF724</t>
  </si>
  <si>
    <t>LLF334</t>
  </si>
  <si>
    <t>LLF534</t>
  </si>
  <si>
    <t>LLF434</t>
  </si>
  <si>
    <t>LCF734</t>
  </si>
  <si>
    <t>LLF344</t>
  </si>
  <si>
    <t>LLF544</t>
  </si>
  <si>
    <t>LLF444</t>
  </si>
  <si>
    <t>LCF744</t>
  </si>
  <si>
    <t>LLF335</t>
  </si>
  <si>
    <t>LLF535</t>
  </si>
  <si>
    <t>LLF435</t>
  </si>
  <si>
    <t>LCF735</t>
  </si>
  <si>
    <t>LLF345</t>
  </si>
  <si>
    <t>LLF545</t>
  </si>
  <si>
    <t>LLF445</t>
  </si>
  <si>
    <t>LCF745</t>
  </si>
  <si>
    <t>LLF336</t>
  </si>
  <si>
    <t>LLF536</t>
  </si>
  <si>
    <t>LLF436</t>
  </si>
  <si>
    <t>LCF736</t>
  </si>
  <si>
    <t>LLF346</t>
  </si>
  <si>
    <t>LLF546</t>
  </si>
  <si>
    <t>LLF446</t>
  </si>
  <si>
    <t>LCF746</t>
  </si>
  <si>
    <t>LLF356</t>
  </si>
  <si>
    <t>LLF556</t>
  </si>
  <si>
    <t>LLF456</t>
  </si>
  <si>
    <t>LCF756</t>
  </si>
  <si>
    <t>LLF366</t>
  </si>
  <si>
    <t>LLF566</t>
  </si>
  <si>
    <t>LLF466</t>
  </si>
  <si>
    <t>LCF766</t>
  </si>
  <si>
    <t>LLF368</t>
  </si>
  <si>
    <t>LLF568</t>
  </si>
  <si>
    <t>LLF468</t>
  </si>
  <si>
    <t>LCF768</t>
  </si>
  <si>
    <t>LCT778</t>
  </si>
  <si>
    <t>LCT788</t>
  </si>
  <si>
    <t>LLT370</t>
  </si>
  <si>
    <t>LLT570</t>
  </si>
  <si>
    <t>LLT470</t>
  </si>
  <si>
    <t>LCT770</t>
  </si>
  <si>
    <t>LLT3750</t>
  </si>
  <si>
    <t>LLT5750</t>
  </si>
  <si>
    <t>LLT4750</t>
  </si>
  <si>
    <t>LCT7750</t>
  </si>
  <si>
    <t>LLT380</t>
  </si>
  <si>
    <t>LLT580</t>
  </si>
  <si>
    <t>LLT480</t>
  </si>
  <si>
    <t>LCT780</t>
  </si>
  <si>
    <t>LLT390</t>
  </si>
  <si>
    <t>LLT590</t>
  </si>
  <si>
    <t>LLT490</t>
  </si>
  <si>
    <t>LCT790</t>
  </si>
  <si>
    <t>LLT382</t>
  </si>
  <si>
    <t>LLT582</t>
  </si>
  <si>
    <t>LLT482</t>
  </si>
  <si>
    <t>LCT782</t>
  </si>
  <si>
    <t>LLT392</t>
  </si>
  <si>
    <t>LLT592</t>
  </si>
  <si>
    <t>LLT492</t>
  </si>
  <si>
    <t>LCT792</t>
  </si>
  <si>
    <t>LLT302</t>
  </si>
  <si>
    <t>LLT502</t>
  </si>
  <si>
    <t>LLT402</t>
  </si>
  <si>
    <t>LCT702</t>
  </si>
  <si>
    <t>LLT312</t>
  </si>
  <si>
    <t>LLT512</t>
  </si>
  <si>
    <t>LLT412</t>
  </si>
  <si>
    <t>LCT712</t>
  </si>
  <si>
    <t>LLT393</t>
  </si>
  <si>
    <t>LLT593</t>
  </si>
  <si>
    <t>LLT493</t>
  </si>
  <si>
    <t>LCT793</t>
  </si>
  <si>
    <t>LLT303</t>
  </si>
  <si>
    <t>LLT503</t>
  </si>
  <si>
    <t>LLT403</t>
  </si>
  <si>
    <t>LCT703</t>
  </si>
  <si>
    <t>LLT313</t>
  </si>
  <si>
    <t>LLT513</t>
  </si>
  <si>
    <t>LLT413</t>
  </si>
  <si>
    <t>LCT713</t>
  </si>
  <si>
    <t>LLT323</t>
  </si>
  <si>
    <t>LLT523</t>
  </si>
  <si>
    <t>LLT423</t>
  </si>
  <si>
    <t>LCT723</t>
  </si>
  <si>
    <t>LLT394</t>
  </si>
  <si>
    <t>LLT594</t>
  </si>
  <si>
    <t>LLT494</t>
  </si>
  <si>
    <t>LCT794</t>
  </si>
  <si>
    <t>LLT304</t>
  </si>
  <si>
    <t>LLT504</t>
  </si>
  <si>
    <t>LLT404</t>
  </si>
  <si>
    <t>LCT704</t>
  </si>
  <si>
    <t>LLT314</t>
  </si>
  <si>
    <t>LLT514</t>
  </si>
  <si>
    <t>LLT414</t>
  </si>
  <si>
    <t>LCT714</t>
  </si>
  <si>
    <t>LLT324</t>
  </si>
  <si>
    <t>LLT524</t>
  </si>
  <si>
    <t>LLT424</t>
  </si>
  <si>
    <t>LCT724</t>
  </si>
  <si>
    <t>LLT334</t>
  </si>
  <si>
    <t>LLT534</t>
  </si>
  <si>
    <t>LLT434</t>
  </si>
  <si>
    <t>LCT734</t>
  </si>
  <si>
    <t>LLT344</t>
  </si>
  <si>
    <t>LLT544</t>
  </si>
  <si>
    <t>LLT444</t>
  </si>
  <si>
    <t>LCT744</t>
  </si>
  <si>
    <t>LLT325</t>
  </si>
  <si>
    <t>LLT525</t>
  </si>
  <si>
    <t>LLT425</t>
  </si>
  <si>
    <t>LCT725</t>
  </si>
  <si>
    <t>LLT335</t>
  </si>
  <si>
    <t>LLT535</t>
  </si>
  <si>
    <t>LLT435</t>
  </si>
  <si>
    <t>LCT735</t>
  </si>
  <si>
    <t>LLT345</t>
  </si>
  <si>
    <t>LLT545</t>
  </si>
  <si>
    <t>LLT445</t>
  </si>
  <si>
    <t>LCT745</t>
  </si>
  <si>
    <t>LLT336</t>
  </si>
  <si>
    <t>LLT536</t>
  </si>
  <si>
    <t>LLT436</t>
  </si>
  <si>
    <t>LLT346</t>
  </si>
  <si>
    <t>LLT546</t>
  </si>
  <si>
    <t>LLT446</t>
  </si>
  <si>
    <t>LCT746</t>
  </si>
  <si>
    <t>LLT356</t>
  </si>
  <si>
    <t>LLT556</t>
  </si>
  <si>
    <t>LLT456</t>
  </si>
  <si>
    <t>LLT366</t>
  </si>
  <si>
    <t>LLT566</t>
  </si>
  <si>
    <t>LLT466</t>
  </si>
  <si>
    <t>LCT766</t>
  </si>
  <si>
    <t>LS462</t>
  </si>
  <si>
    <t>LLS362</t>
  </si>
  <si>
    <t>LLS562</t>
  </si>
  <si>
    <t>LLS462</t>
  </si>
  <si>
    <t>LS762</t>
  </si>
  <si>
    <t>LS555</t>
  </si>
  <si>
    <t>LS733</t>
  </si>
  <si>
    <t>LS557</t>
  </si>
  <si>
    <t>LLS363</t>
  </si>
  <si>
    <t>LLS563</t>
  </si>
  <si>
    <t>LLS463</t>
  </si>
  <si>
    <t>LS763</t>
  </si>
  <si>
    <t>LS444</t>
  </si>
  <si>
    <t>LLS344</t>
  </si>
  <si>
    <t>LLS544</t>
  </si>
  <si>
    <t>LLS444</t>
  </si>
  <si>
    <t>LS744</t>
  </si>
  <si>
    <t>LS401</t>
  </si>
  <si>
    <t>LLS354</t>
  </si>
  <si>
    <t>LLS554</t>
  </si>
  <si>
    <t>LLS454</t>
  </si>
  <si>
    <t>LS754</t>
  </si>
  <si>
    <t>LS405</t>
  </si>
  <si>
    <t>LLS305</t>
  </si>
  <si>
    <t>LLS505</t>
  </si>
  <si>
    <t>LLS405</t>
  </si>
  <si>
    <t>LS705</t>
  </si>
  <si>
    <t>LS403</t>
  </si>
  <si>
    <t>LLS364</t>
  </si>
  <si>
    <t>LLS564</t>
  </si>
  <si>
    <t>LLS464</t>
  </si>
  <si>
    <t>LS764</t>
  </si>
  <si>
    <t>LS804</t>
  </si>
  <si>
    <t>LLS384</t>
  </si>
  <si>
    <t>LLS584</t>
  </si>
  <si>
    <t>LLS484</t>
  </si>
  <si>
    <t>LS784</t>
  </si>
  <si>
    <t>Codif Base</t>
  </si>
  <si>
    <t>Bass Mounts (Depend on Lugs)</t>
  </si>
  <si>
    <t>LH</t>
  </si>
  <si>
    <t>A1</t>
  </si>
  <si>
    <t>AA</t>
  </si>
  <si>
    <t>Tom Mounts</t>
  </si>
  <si>
    <t xml:space="preserve">P1216D Classic Ludwig Bracket </t>
  </si>
  <si>
    <t>Vibraband w/P1216D Brkt</t>
  </si>
  <si>
    <t>PM0046 Atlas Tom Bracket</t>
  </si>
  <si>
    <t>PLH1150 Triad Bracket</t>
  </si>
  <si>
    <t>Vibraband w/PLH1150</t>
  </si>
  <si>
    <t>Floor Mounts</t>
  </si>
  <si>
    <t>LC5023TL Classic Brkts/Legs</t>
  </si>
  <si>
    <t>LTL No Legs or Drilling</t>
  </si>
  <si>
    <t>TR</t>
  </si>
  <si>
    <t>PM0046  Atlas Brkts/Legs</t>
  </si>
  <si>
    <t>P1610D Ludwig Bass Casting</t>
  </si>
  <si>
    <t>LR2981MT Rocker Single Tom Holder</t>
  </si>
  <si>
    <t>LR2980MT Rocker Double Tom Holder</t>
  </si>
  <si>
    <t>LAP2984MT Atlas Double</t>
  </si>
  <si>
    <t>LAP2985MT Atlas Single</t>
  </si>
  <si>
    <t>LAC2983MT Atlas Arch Single</t>
  </si>
  <si>
    <t>Mount</t>
  </si>
  <si>
    <t>sdHoops</t>
  </si>
  <si>
    <t>3F</t>
  </si>
  <si>
    <t>MX</t>
  </si>
  <si>
    <t>PDC</t>
  </si>
  <si>
    <t>XD</t>
  </si>
  <si>
    <t>TD</t>
  </si>
  <si>
    <t>MD</t>
  </si>
  <si>
    <t>Codif Mounts</t>
  </si>
  <si>
    <t xml:space="preserve">Codification  </t>
  </si>
  <si>
    <t>CX</t>
  </si>
  <si>
    <t>CD</t>
  </si>
  <si>
    <t>Suffix</t>
  </si>
  <si>
    <t>WC</t>
  </si>
  <si>
    <t>WL</t>
  </si>
  <si>
    <t>WT</t>
  </si>
  <si>
    <t>WI</t>
  </si>
  <si>
    <t>type</t>
  </si>
  <si>
    <t>tomBrkt</t>
  </si>
  <si>
    <t>WCR</t>
  </si>
  <si>
    <t>WLR</t>
  </si>
  <si>
    <t>WR</t>
  </si>
  <si>
    <t>WIR</t>
  </si>
  <si>
    <t>WTR</t>
  </si>
  <si>
    <t>Throwoff</t>
  </si>
  <si>
    <t>lva_bdhoop</t>
  </si>
  <si>
    <t>STi</t>
  </si>
  <si>
    <t>Satin Sable w/Inlay</t>
  </si>
  <si>
    <t>SNi</t>
  </si>
  <si>
    <t>Satin Natural w/Inlay</t>
  </si>
  <si>
    <t>Satin Sable</t>
  </si>
  <si>
    <t>0Ni</t>
  </si>
  <si>
    <t>Natural w/Inlay</t>
  </si>
  <si>
    <t>0Na</t>
  </si>
  <si>
    <t>Matching Hoop</t>
  </si>
  <si>
    <t>Natural Hoop</t>
  </si>
  <si>
    <t>SNa</t>
  </si>
  <si>
    <t>Satin Natural w/Accent</t>
  </si>
  <si>
    <t>STa</t>
  </si>
  <si>
    <t>Satin Sable w/Accent</t>
  </si>
  <si>
    <t>ir_bdHoop</t>
  </si>
  <si>
    <t>v_finish</t>
  </si>
  <si>
    <t>c_bdHoop</t>
  </si>
  <si>
    <t>Sable Black</t>
  </si>
  <si>
    <t>dv_bdHoop</t>
  </si>
  <si>
    <t>26</t>
  </si>
  <si>
    <t>36</t>
  </si>
  <si>
    <t>45</t>
  </si>
  <si>
    <t>46</t>
  </si>
  <si>
    <t>62</t>
  </si>
  <si>
    <t>66</t>
  </si>
  <si>
    <t>68</t>
  </si>
  <si>
    <t>80</t>
  </si>
  <si>
    <t>88</t>
  </si>
  <si>
    <t>90</t>
  </si>
  <si>
    <t>0Q</t>
  </si>
  <si>
    <t>S3</t>
  </si>
  <si>
    <t>F1</t>
  </si>
  <si>
    <t>bdHoop Options</t>
  </si>
  <si>
    <t>lva_accent</t>
  </si>
  <si>
    <t>Black Oyster Pearl</t>
  </si>
  <si>
    <t>ir_accent</t>
  </si>
  <si>
    <t>dv_accent</t>
  </si>
  <si>
    <t>60</t>
  </si>
  <si>
    <t>c_accent</t>
  </si>
  <si>
    <t>Many of these finishes are long gone, no harm having them here.</t>
  </si>
  <si>
    <t>Interior</t>
  </si>
  <si>
    <t>Accent Options</t>
  </si>
  <si>
    <t>finType</t>
  </si>
  <si>
    <t>lva_spurs</t>
  </si>
  <si>
    <t>LR2974SP</t>
  </si>
  <si>
    <t>Elite Kick Spur</t>
  </si>
  <si>
    <t>LC1308SP</t>
  </si>
  <si>
    <t>Curved Spur</t>
  </si>
  <si>
    <t>NSP</t>
  </si>
  <si>
    <t>No Spurs or Drilling</t>
  </si>
  <si>
    <t>LAC2973SP</t>
  </si>
  <si>
    <t>Atlas Anchor</t>
  </si>
  <si>
    <t>PC4006</t>
  </si>
  <si>
    <t>Folding Spurs</t>
  </si>
  <si>
    <t>ir_spurs</t>
  </si>
  <si>
    <t>c_spurs</t>
  </si>
  <si>
    <t>dv_spurs</t>
  </si>
  <si>
    <t>Options</t>
  </si>
  <si>
    <t>BD&lt;22</t>
  </si>
  <si>
    <t>BD:Sgl</t>
  </si>
  <si>
    <t>18&amp;20 = no Curved</t>
  </si>
  <si>
    <t>SH = no Anchors</t>
  </si>
  <si>
    <t>If Match</t>
  </si>
  <si>
    <t>Preclude</t>
  </si>
  <si>
    <t>First rule</t>
  </si>
  <si>
    <t>2nd rule</t>
  </si>
  <si>
    <t>3rd rule</t>
  </si>
  <si>
    <t xml:space="preserve">dv_spurs will be Elite Kicks UNLESS ALL bass drums have LI or LT lugs.  </t>
  </si>
  <si>
    <t xml:space="preserve">to know that, I also have to know if ANY bass drum has any other lugs. </t>
  </si>
  <si>
    <t xml:space="preserve">So, 4th rule, match LB and ML, LB and CL, LB and LL. </t>
  </si>
  <si>
    <t>4th rule</t>
  </si>
  <si>
    <t xml:space="preserve"> LI, LT = no Anchors</t>
  </si>
  <si>
    <t>LL = no Anchors</t>
  </si>
  <si>
    <t>BD:ML/CL</t>
  </si>
  <si>
    <t>dv_spurs is a calculation that returns</t>
  </si>
  <si>
    <t>folding spurs ONLY if all bass drums</t>
  </si>
  <si>
    <t>have LI or LT lugs.  Otherwise, Elite Kicks</t>
  </si>
  <si>
    <t>dv rule</t>
  </si>
  <si>
    <t>The Options list (filter) draws from lva_spurs</t>
  </si>
  <si>
    <t>ir_spurs isn't actually used for this.</t>
  </si>
  <si>
    <t xml:space="preserve">See calculations on Outfitter page, </t>
  </si>
  <si>
    <t xml:space="preserve">Cells AE22:AI27. </t>
  </si>
  <si>
    <t>lva_dblSngl</t>
  </si>
  <si>
    <t>Desc</t>
  </si>
  <si>
    <t>Double Head</t>
  </si>
  <si>
    <t>BD Options</t>
  </si>
  <si>
    <t>FT Options</t>
  </si>
  <si>
    <t>Tom Toms</t>
  </si>
  <si>
    <t>Floor Toms</t>
  </si>
  <si>
    <t>Bass Drums</t>
  </si>
  <si>
    <t>TT options</t>
  </si>
  <si>
    <t>ir_batter</t>
  </si>
  <si>
    <t>BA01</t>
  </si>
  <si>
    <t>BA03</t>
  </si>
  <si>
    <t>BE03</t>
  </si>
  <si>
    <t>P313</t>
  </si>
  <si>
    <t>lva_batter</t>
  </si>
  <si>
    <t>P310</t>
  </si>
  <si>
    <t>P312</t>
  </si>
  <si>
    <t>BD batter is fixed value P313</t>
  </si>
  <si>
    <t>lva_reso</t>
  </si>
  <si>
    <t>P313S</t>
  </si>
  <si>
    <t>C11</t>
  </si>
  <si>
    <t>Tom Batter</t>
  </si>
  <si>
    <t>c_type</t>
  </si>
  <si>
    <t>ir_reso</t>
  </si>
  <si>
    <t>description</t>
  </si>
  <si>
    <t>{[12_18B]:[P310]}</t>
  </si>
  <si>
    <t>{[14_18B]:[P310]}</t>
  </si>
  <si>
    <t>{[16_18B]:[P310]}</t>
  </si>
  <si>
    <t>{[12_20B]:[P310]}</t>
  </si>
  <si>
    <t>{[14_20B]:[P310]}</t>
  </si>
  <si>
    <t>{[16_20B]:[P310]}</t>
  </si>
  <si>
    <t>{[18_20B]:[P310]}</t>
  </si>
  <si>
    <t>{[20_20B]:[P310]}</t>
  </si>
  <si>
    <t>{[12_22B]:[P310]}</t>
  </si>
  <si>
    <t>{[14_22B]:[P310]}</t>
  </si>
  <si>
    <t>{[16_22B]:[P310]}</t>
  </si>
  <si>
    <t>{[18_22B]:[P310]}</t>
  </si>
  <si>
    <t>{[20_22B]:[P310]}</t>
  </si>
  <si>
    <t>{[12_24B]:[P310]}</t>
  </si>
  <si>
    <t>{[14_24B]:[P310]}</t>
  </si>
  <si>
    <t>{[16_24B]:[P310]}</t>
  </si>
  <si>
    <t>{[18_24B]:[P310]}</t>
  </si>
  <si>
    <t>{[20_24B]:[P310]}</t>
  </si>
  <si>
    <t>{[12_26B]:[P310]}</t>
  </si>
  <si>
    <t>{[14_26B]:[P310]}</t>
  </si>
  <si>
    <t>{[16_26B]:[P310]}</t>
  </si>
  <si>
    <t>{[12_18B]:[P312]}</t>
  </si>
  <si>
    <t>{[14_18B]:[P312]}</t>
  </si>
  <si>
    <t>{[16_18B]:[P312]}</t>
  </si>
  <si>
    <t>{[12_20B]:[P312]}</t>
  </si>
  <si>
    <t>{[14_20B]:[P312]}</t>
  </si>
  <si>
    <t>{[16_20B]:[P312]}</t>
  </si>
  <si>
    <t>{[18_20B]:[P312]}</t>
  </si>
  <si>
    <t>{[20_20B]:[P312]}</t>
  </si>
  <si>
    <t>{[12_22B]:[P312]}</t>
  </si>
  <si>
    <t>{[14_22B]:[P312]}</t>
  </si>
  <si>
    <t>{[16_22B]:[P312]}</t>
  </si>
  <si>
    <t>{[18_22B]:[P312]}</t>
  </si>
  <si>
    <t>{[20_22B]:[P312]}</t>
  </si>
  <si>
    <t>{[12_24B]:[P312]}</t>
  </si>
  <si>
    <t>{[14_24B]:[P312]}</t>
  </si>
  <si>
    <t>{[16_24B]:[P312]}</t>
  </si>
  <si>
    <t>{[18_24B]:[P312]}</t>
  </si>
  <si>
    <t>{[20_24B]:[P312]}</t>
  </si>
  <si>
    <t>{[12_26B]:[P312]}</t>
  </si>
  <si>
    <t>{[14_26B]:[P312]}</t>
  </si>
  <si>
    <t>{[16_26B]:[P312]}</t>
  </si>
  <si>
    <t>{[12_18B]:[P313S]}</t>
  </si>
  <si>
    <t>{[14_18B]:[P313S]}</t>
  </si>
  <si>
    <t>{[16_18B]:[P313S]}</t>
  </si>
  <si>
    <t>{[12_20B]:[P313S]}</t>
  </si>
  <si>
    <t>{[14_20B]:[P313S]}</t>
  </si>
  <si>
    <t>{[16_20B]:[P313S]}</t>
  </si>
  <si>
    <t>{[18_20B]:[P313S]}</t>
  </si>
  <si>
    <t>{[20_20B]:[P313S]}</t>
  </si>
  <si>
    <t>{[12_22B]:[P313S]}</t>
  </si>
  <si>
    <t>{[14_22B]:[P313S]}</t>
  </si>
  <si>
    <t>{[16_22B]:[P313S]}</t>
  </si>
  <si>
    <t>{[18_22B]:[P313S]}</t>
  </si>
  <si>
    <t>{[20_22B]:[P313S]}</t>
  </si>
  <si>
    <t>{[12_24B]:[P313S]}</t>
  </si>
  <si>
    <t>{[14_24B]:[P313S]}</t>
  </si>
  <si>
    <t>{[16_24B]:[P313S]}</t>
  </si>
  <si>
    <t>{[18_24B]:[P313S]}</t>
  </si>
  <si>
    <t>{[20_24B]:[P313S]}</t>
  </si>
  <si>
    <t>{[12_26B]:[P313S]}</t>
  </si>
  <si>
    <t>{[14_26B]:[P313S]}</t>
  </si>
  <si>
    <t>{[16_26B]:[P313S]}</t>
  </si>
  <si>
    <t>{[6_12S]:[C11]}</t>
  </si>
  <si>
    <t>{[3H_13S]:[C11]}</t>
  </si>
  <si>
    <t>{[6_13S]:[C11]}</t>
  </si>
  <si>
    <t>Bass Reso</t>
  </si>
  <si>
    <t>Floor Batter</t>
  </si>
  <si>
    <t>Snare Batter</t>
  </si>
  <si>
    <t>lva_intFin</t>
  </si>
  <si>
    <t>C</t>
  </si>
  <si>
    <t>Clear Lacquer</t>
  </si>
  <si>
    <t>default is</t>
  </si>
  <si>
    <t>Int Fin Options</t>
  </si>
  <si>
    <t>lva_bdScrews</t>
  </si>
  <si>
    <t>v_bdScrews</t>
  </si>
  <si>
    <t>K</t>
  </si>
  <si>
    <t>T-Handles</t>
  </si>
  <si>
    <t xml:space="preserve">dv  = </t>
  </si>
  <si>
    <t>Conditions</t>
  </si>
  <si>
    <t>BD&lt;&gt;LI/LT</t>
  </si>
  <si>
    <t>BD&lt;&gt;LL</t>
  </si>
  <si>
    <t>Option(s)</t>
  </si>
  <si>
    <t>lva_smPos</t>
  </si>
  <si>
    <t>L</t>
  </si>
  <si>
    <t>R</t>
  </si>
  <si>
    <t>LnR</t>
  </si>
  <si>
    <t>N</t>
  </si>
  <si>
    <t>No ShellMount</t>
  </si>
  <si>
    <t xml:space="preserve">shell mnt </t>
  </si>
  <si>
    <t>Y</t>
  </si>
  <si>
    <t>avail?</t>
  </si>
  <si>
    <t>Tom Holder Conflict?</t>
  </si>
  <si>
    <t>These three conflict with shellmount</t>
  </si>
  <si>
    <t>lva_edges</t>
  </si>
  <si>
    <t>code</t>
  </si>
  <si>
    <t>S45</t>
  </si>
  <si>
    <t>Single 45 Edges</t>
  </si>
  <si>
    <t>D45</t>
  </si>
  <si>
    <t>Double 45 Edges</t>
  </si>
  <si>
    <t>RND</t>
  </si>
  <si>
    <t>Round Edges</t>
  </si>
  <si>
    <t>LGC</t>
  </si>
  <si>
    <t>Legacy Edges</t>
  </si>
  <si>
    <t>dv_edges</t>
  </si>
  <si>
    <t>c_edges</t>
  </si>
  <si>
    <t>ir_edges</t>
  </si>
  <si>
    <t>Because</t>
  </si>
  <si>
    <t>lva_toneCntrl</t>
  </si>
  <si>
    <t xml:space="preserve">Exists if </t>
  </si>
  <si>
    <t>v_type = "LF" or v_type = "LT" or v_type = "LS"</t>
  </si>
  <si>
    <t>v_toneCntrl</t>
  </si>
  <si>
    <t>No Internal Tone Control</t>
  </si>
  <si>
    <t>Knob Tone Control</t>
  </si>
  <si>
    <t>Baseball Bat Tone Control</t>
  </si>
  <si>
    <t>ir_toneCntrl</t>
  </si>
  <si>
    <t>c_ToneControl</t>
  </si>
  <si>
    <t>Round Knob</t>
  </si>
  <si>
    <t>Baseball Bat</t>
  </si>
  <si>
    <t>options</t>
  </si>
  <si>
    <t>other sizes</t>
  </si>
  <si>
    <t>6" deep tom?</t>
  </si>
  <si>
    <t xml:space="preserve"> </t>
  </si>
  <si>
    <t>dhTT</t>
  </si>
  <si>
    <t>ML or CL</t>
  </si>
  <si>
    <t>On a tom tom, what CLASHES with single heads?</t>
  </si>
  <si>
    <t>Twin Lugs</t>
  </si>
  <si>
    <t>Long lugs</t>
  </si>
  <si>
    <t>Imperial Lugs</t>
  </si>
  <si>
    <t>Legacy or Oak shells</t>
  </si>
  <si>
    <t>Mounts Options</t>
  </si>
  <si>
    <t>Where did this come from?</t>
  </si>
  <si>
    <t>lva_butt</t>
  </si>
  <si>
    <t>P33</t>
  </si>
  <si>
    <t>P33 die cast butt</t>
  </si>
  <si>
    <t>P32</t>
  </si>
  <si>
    <t>P32 stamped butt</t>
  </si>
  <si>
    <t>P35</t>
  </si>
  <si>
    <t>P35 Atlas butt</t>
  </si>
  <si>
    <t>lva_snareHoops</t>
  </si>
  <si>
    <t>v_snareHoops</t>
  </si>
  <si>
    <t>Triple Flanged Hoops</t>
  </si>
  <si>
    <t>LS481</t>
  </si>
  <si>
    <t>LLS304</t>
  </si>
  <si>
    <t>LLS504</t>
  </si>
  <si>
    <t>LLS404</t>
  </si>
  <si>
    <t>LS704</t>
  </si>
  <si>
    <t>pdc fit?</t>
  </si>
  <si>
    <t>1 if PDC</t>
  </si>
  <si>
    <t>Won't fit</t>
  </si>
  <si>
    <t>Sngl hd</t>
  </si>
  <si>
    <t>5H snare</t>
  </si>
  <si>
    <t>1 if SD</t>
  </si>
  <si>
    <t>NOT</t>
  </si>
  <si>
    <t>lva_snBed</t>
  </si>
  <si>
    <t>STD</t>
  </si>
  <si>
    <t>v_snBed</t>
  </si>
  <si>
    <t>Size error</t>
  </si>
  <si>
    <t>P2</t>
  </si>
  <si>
    <t>(MM) Item Part Inquiry - dvo CstmDrums</t>
  </si>
  <si>
    <t>Item class</t>
  </si>
  <si>
    <t>Status</t>
  </si>
  <si>
    <t>Item number</t>
  </si>
  <si>
    <t>List Price (MSRP)</t>
  </si>
  <si>
    <t>MAP price</t>
  </si>
  <si>
    <t>Dom A1</t>
  </si>
  <si>
    <t>Dom A2</t>
  </si>
  <si>
    <t>Dom P1</t>
  </si>
  <si>
    <t>Dom P2</t>
  </si>
  <si>
    <t>Dom E2</t>
  </si>
  <si>
    <t>Export</t>
  </si>
  <si>
    <t>Level 1</t>
  </si>
  <si>
    <t>Level 2</t>
  </si>
  <si>
    <t>Level 3</t>
  </si>
  <si>
    <t>___________</t>
  </si>
  <si>
    <t>______</t>
  </si>
  <si>
    <t>__________________</t>
  </si>
  <si>
    <t>_____________________________________</t>
  </si>
  <si>
    <t>______________</t>
  </si>
  <si>
    <t>__________</t>
  </si>
  <si>
    <t>HCTL</t>
  </si>
  <si>
    <t>A</t>
  </si>
  <si>
    <t>LEGACY CLASSIC BS DRUM</t>
  </si>
  <si>
    <t>LEGACY CLASSIC FLR TOM</t>
  </si>
  <si>
    <t>GCTL</t>
  </si>
  <si>
    <t>LEGACY CLASSIC SNARE DRUM</t>
  </si>
  <si>
    <t>LEGACY CLASSIC TOM TOM</t>
  </si>
  <si>
    <t>HCVL</t>
  </si>
  <si>
    <t>LEGACY MAHOGANY BS DRUM</t>
  </si>
  <si>
    <t>LEGACY MAHOGANY FLR TOM</t>
  </si>
  <si>
    <t>GCVL</t>
  </si>
  <si>
    <t>LEGACY MAHOGANY SNARE DRUM</t>
  </si>
  <si>
    <t>LEGACY MAHOGANY TOM TOM</t>
  </si>
  <si>
    <t>HCUL</t>
  </si>
  <si>
    <t>CONFIG LEGACY EXOTIC BASS DRUM</t>
  </si>
  <si>
    <t>CONFIG LEGACY EXOTIC FLOOR TOM</t>
  </si>
  <si>
    <t>GCUL</t>
  </si>
  <si>
    <t>CONFIG LEGACY EXOTIC SNARE</t>
  </si>
  <si>
    <t>CONFIG LEGACY EXOTIC TOM TOM</t>
  </si>
  <si>
    <t>HCIL</t>
  </si>
  <si>
    <t>CLASSIC MAPLE BASS DRUM</t>
  </si>
  <si>
    <t>CLASSIC MAPLE FLOOR TOM</t>
  </si>
  <si>
    <t>GCIL</t>
  </si>
  <si>
    <t>CLASSIC MAPLE SNARE DRUM</t>
  </si>
  <si>
    <t>CLASSIC MAPLE TOM</t>
  </si>
  <si>
    <t>HCRL</t>
  </si>
  <si>
    <t>CONFIG CLASSIC OAK BASS DRUM</t>
  </si>
  <si>
    <t>CONFIG CLASSIC OAK FLOOR TOM</t>
  </si>
  <si>
    <t>GCRL</t>
  </si>
  <si>
    <t>CONFIG CLASSIC OAK SNARE DRUM</t>
  </si>
  <si>
    <t>CONFIG CLASSIC OAK TOM</t>
  </si>
  <si>
    <t># 20</t>
  </si>
  <si>
    <t>This is from Item Part Inquiry.  Subset is dvo CstmDrums,  view is dvo Nets.  Paste the result in BB6.</t>
  </si>
  <si>
    <t>Map</t>
  </si>
  <si>
    <t>P1</t>
  </si>
  <si>
    <t>E2</t>
  </si>
  <si>
    <t>F2</t>
  </si>
  <si>
    <t>F3</t>
  </si>
  <si>
    <t>Std Trade</t>
  </si>
  <si>
    <t>SRP</t>
  </si>
  <si>
    <t>Custom Item</t>
  </si>
  <si>
    <t>Item</t>
  </si>
  <si>
    <t>Class</t>
  </si>
  <si>
    <t>1 if choice</t>
  </si>
  <si>
    <t>prd_bdHoops</t>
  </si>
  <si>
    <t>v_bdHoop</t>
  </si>
  <si>
    <t>Inlaid?</t>
  </si>
  <si>
    <t>Yes</t>
  </si>
  <si>
    <t>No</t>
  </si>
  <si>
    <t>Lug error</t>
  </si>
  <si>
    <t>Mnt error</t>
  </si>
  <si>
    <t>prd_spurs</t>
  </si>
  <si>
    <t>v_spurs</t>
  </si>
  <si>
    <t>Spurs $</t>
  </si>
  <si>
    <t>I'll make</t>
  </si>
  <si>
    <t xml:space="preserve">this cell </t>
  </si>
  <si>
    <t>Spurs $$</t>
  </si>
  <si>
    <t xml:space="preserve">bacause </t>
  </si>
  <si>
    <t>on lugs</t>
  </si>
  <si>
    <t>$ depends</t>
  </si>
  <si>
    <t>prd_bdScrews</t>
  </si>
  <si>
    <t>Right Side</t>
  </si>
  <si>
    <t>prd_smPos</t>
  </si>
  <si>
    <t>v_smPos</t>
  </si>
  <si>
    <t>Left Side</t>
  </si>
  <si>
    <t>Left and Right</t>
  </si>
  <si>
    <t>Details $$</t>
  </si>
  <si>
    <t>prd_toneCntrl</t>
  </si>
  <si>
    <t>prd_snareHoops</t>
  </si>
  <si>
    <t>effective</t>
  </si>
  <si>
    <t>MHa</t>
  </si>
  <si>
    <t>Natural w/Accent</t>
  </si>
  <si>
    <t>Retail</t>
  </si>
  <si>
    <t>Cstm Retail</t>
  </si>
  <si>
    <t>Cstm MAP</t>
  </si>
  <si>
    <t>Screws</t>
  </si>
  <si>
    <t>Edges</t>
  </si>
  <si>
    <t>Dbl/Sngl</t>
  </si>
  <si>
    <t>Smt?</t>
  </si>
  <si>
    <t>NO</t>
  </si>
  <si>
    <t xml:space="preserve">How does PM0062 clash with a shellmount?  </t>
  </si>
  <si>
    <t>Matching Hoop w/Accent</t>
  </si>
  <si>
    <t>Sm Gold Kstn</t>
  </si>
  <si>
    <t>Lg Gold Kstn</t>
  </si>
  <si>
    <t>Seq</t>
  </si>
  <si>
    <t>What did I cut out of this table?  Probably all the unused tom brkts.</t>
  </si>
  <si>
    <t>I cut out Anniversary Badges which are, inexplicably, still in the real configurator.</t>
  </si>
  <si>
    <t xml:space="preserve">Not for long. </t>
  </si>
  <si>
    <t>Club date?</t>
  </si>
  <si>
    <t>Other?</t>
  </si>
  <si>
    <t>Spurs text</t>
  </si>
  <si>
    <t>All this is about whether or not to charge for Folding Spurs.</t>
  </si>
  <si>
    <t>28</t>
  </si>
  <si>
    <t>48</t>
  </si>
  <si>
    <t>20</t>
  </si>
  <si>
    <t>40</t>
  </si>
  <si>
    <t>00</t>
  </si>
  <si>
    <t>22</t>
  </si>
  <si>
    <t>42</t>
  </si>
  <si>
    <t>82</t>
  </si>
  <si>
    <t>02</t>
  </si>
  <si>
    <t>24</t>
  </si>
  <si>
    <t>44</t>
  </si>
  <si>
    <t>64</t>
  </si>
  <si>
    <t>84</t>
  </si>
  <si>
    <t>04</t>
  </si>
  <si>
    <t>34</t>
  </si>
  <si>
    <t>56</t>
  </si>
  <si>
    <t>76</t>
  </si>
  <si>
    <t>78</t>
  </si>
  <si>
    <t>70</t>
  </si>
  <si>
    <t>92</t>
  </si>
  <si>
    <t>12</t>
  </si>
  <si>
    <t>93</t>
  </si>
  <si>
    <t>03</t>
  </si>
  <si>
    <t>13</t>
  </si>
  <si>
    <t>23</t>
  </si>
  <si>
    <t>94</t>
  </si>
  <si>
    <t>14</t>
  </si>
  <si>
    <t>25</t>
  </si>
  <si>
    <t>1 if FT has</t>
  </si>
  <si>
    <t>LL, LT or LI</t>
  </si>
  <si>
    <t>Tom Holder</t>
  </si>
  <si>
    <t>Tom Brkt</t>
  </si>
  <si>
    <t>Codification</t>
  </si>
  <si>
    <t>9.5mm</t>
  </si>
  <si>
    <t>12mm</t>
  </si>
  <si>
    <t>9.5mm?</t>
  </si>
  <si>
    <t>12mm?</t>
  </si>
  <si>
    <t xml:space="preserve"> Active</t>
  </si>
  <si>
    <t xml:space="preserve">Filled </t>
  </si>
  <si>
    <t>Cells</t>
  </si>
  <si>
    <t>incomplete</t>
  </si>
  <si>
    <t xml:space="preserve">1 if </t>
  </si>
  <si>
    <t>1 if</t>
  </si>
  <si>
    <t>Accent</t>
  </si>
  <si>
    <t>Legs</t>
  </si>
  <si>
    <t>SD Hoops</t>
  </si>
  <si>
    <t>BD Hoops</t>
  </si>
  <si>
    <t>Badges</t>
  </si>
  <si>
    <t>Badge(s)</t>
  </si>
  <si>
    <t>Cast Brass</t>
  </si>
  <si>
    <t>in play? &gt;&gt;</t>
  </si>
  <si>
    <t>Why did I do separate options here?</t>
  </si>
  <si>
    <t>Edges visible?</t>
  </si>
  <si>
    <t>Dbl/Sngl visible?</t>
  </si>
  <si>
    <t>Sd Bed Visible?</t>
  </si>
  <si>
    <t>Reso Visible?</t>
  </si>
  <si>
    <t>Lg Classic Lugs</t>
  </si>
  <si>
    <t>Mach Lugs</t>
  </si>
  <si>
    <t>LR2974 Elite Spurs</t>
  </si>
  <si>
    <t>LC1308SP Curved Spurs</t>
  </si>
  <si>
    <t>No Spurs / Drilling</t>
  </si>
  <si>
    <t>LAC2973 Atlas Anchors</t>
  </si>
  <si>
    <t>PC4006 Folding Spurs</t>
  </si>
  <si>
    <t>Resa-Cote</t>
  </si>
  <si>
    <t/>
  </si>
  <si>
    <t>This "ir_" was created here.  It's not in the CPT.</t>
  </si>
  <si>
    <t>Remove Exclusive finishes for the order guide.</t>
  </si>
  <si>
    <t>Blue Super Sparkle</t>
  </si>
  <si>
    <t>A6</t>
  </si>
  <si>
    <t>Butterscotch Pearl</t>
  </si>
  <si>
    <t>Merlot Super Sparkle</t>
  </si>
  <si>
    <t>A7</t>
  </si>
  <si>
    <t>Steel Blue Pearl</t>
  </si>
  <si>
    <t>Titanium Super Sparkle</t>
  </si>
  <si>
    <t>fintype</t>
  </si>
  <si>
    <t>v_accent</t>
  </si>
  <si>
    <t>I/O Bubinga Gloss</t>
  </si>
  <si>
    <t>I/O Birdseye Maple</t>
  </si>
  <si>
    <t>Cost</t>
  </si>
  <si>
    <t xml:space="preserve">  </t>
  </si>
  <si>
    <t>Diablo Red</t>
  </si>
  <si>
    <t>Pasted here 4/21/25</t>
  </si>
  <si>
    <t>750</t>
  </si>
  <si>
    <t>Snare Reso</t>
  </si>
  <si>
    <t>SA03</t>
  </si>
  <si>
    <t>{[3H_14S]:[SA03]}</t>
  </si>
  <si>
    <t>{[5_14S]:[SA03]}</t>
  </si>
  <si>
    <t>{[5_14x8S]:[SA03]}</t>
  </si>
  <si>
    <t>{[5H_14S]:[SA03]}</t>
  </si>
  <si>
    <t>{[5H_14x8S]:[SA03]}</t>
  </si>
  <si>
    <t>{[6H_14S]:[SA03]}</t>
  </si>
  <si>
    <t>{[6H_14x8S]:[SA03]}</t>
  </si>
  <si>
    <t>{[8_14S]:[SA03]}</t>
  </si>
  <si>
    <t>{[10_14S]:[SA03]}</t>
  </si>
  <si>
    <t>{[4_14S]:[SA03]}</t>
  </si>
  <si>
    <t>{[4_14x8S]:[SA03]}</t>
  </si>
  <si>
    <t>SD01</t>
  </si>
  <si>
    <t>{[3H_14S]:[SD01]}</t>
  </si>
  <si>
    <t>{[5_14S]:[SD01]}</t>
  </si>
  <si>
    <t>{[5_14x8S]:[SD01]}</t>
  </si>
  <si>
    <t>{[5H_14S]:[SD01]}</t>
  </si>
  <si>
    <t>{[5H_14x8S]:[SD01]}</t>
  </si>
  <si>
    <t>{[6H_14S]:[SD01]}</t>
  </si>
  <si>
    <t>{[6H_14x8S]:[SD01]}</t>
  </si>
  <si>
    <t>{[8_14S]:[SD01]}</t>
  </si>
  <si>
    <t>{[10_14S]:[SD01]}</t>
  </si>
  <si>
    <t>{[4_14S]:[SD01]}</t>
  </si>
  <si>
    <t>{[4_14x8S]:[SD01]}</t>
  </si>
  <si>
    <t>14 SD</t>
  </si>
  <si>
    <t>12 or  13 SD</t>
  </si>
  <si>
    <t>No snares</t>
  </si>
  <si>
    <t>Popcorn only</t>
  </si>
  <si>
    <t>14" only</t>
  </si>
  <si>
    <t>Both.</t>
  </si>
  <si>
    <t>dv_sd_batter</t>
  </si>
  <si>
    <t>BA05</t>
  </si>
  <si>
    <t>Not for long.  :-)</t>
  </si>
  <si>
    <t>Remo PS3 Clear Batter</t>
  </si>
  <si>
    <t>Remo Clear Amb Batter</t>
  </si>
  <si>
    <t>Remo Clear Emp Batter</t>
  </si>
  <si>
    <t>Remo Ctd Amb Batter</t>
  </si>
  <si>
    <t>Remo Ctd M5 Diplo Batter</t>
  </si>
  <si>
    <t>Q4CL</t>
  </si>
  <si>
    <t>Evans EQ4 Clear Batter</t>
  </si>
  <si>
    <t>G1CW</t>
  </si>
  <si>
    <t>Evans G1 Coated Batter</t>
  </si>
  <si>
    <t>G2CW</t>
  </si>
  <si>
    <t>Evans G2 Coated Batter</t>
  </si>
  <si>
    <t>G1CL</t>
  </si>
  <si>
    <t>Evans G1 Clear Batter</t>
  </si>
  <si>
    <t>G2CL</t>
  </si>
  <si>
    <t>Evans G2 Clear Batter</t>
  </si>
  <si>
    <t>Remo PS3 Blk w/Script</t>
  </si>
  <si>
    <t>Remo PS3 Sm Wht w/Script</t>
  </si>
  <si>
    <t>Remo PS3 Clr w/Script</t>
  </si>
  <si>
    <t>Remo Clear Amb Reso</t>
  </si>
  <si>
    <t>Remo Clear Amb Snare</t>
  </si>
  <si>
    <t>Remo Diplomat Hazy Snare</t>
  </si>
  <si>
    <t xml:space="preserve">Ludwig X-Thin Clr Snare </t>
  </si>
  <si>
    <t>BKBL</t>
  </si>
  <si>
    <t>Evans EQ3 Black w/Block</t>
  </si>
  <si>
    <t>CLBL</t>
  </si>
  <si>
    <t>Evans EQ3 Clear w/Block</t>
  </si>
  <si>
    <t>SWBL</t>
  </si>
  <si>
    <t>Evans EQ3 Sm Wht w/Block</t>
  </si>
  <si>
    <t>BKSL</t>
  </si>
  <si>
    <t>Evans EQ3 Black w/Script</t>
  </si>
  <si>
    <t>CLSL</t>
  </si>
  <si>
    <t>Evans EQ3 Clear w/Script</t>
  </si>
  <si>
    <t>SWSL</t>
  </si>
  <si>
    <t>Evans EQ3 Sm Wht w/Script</t>
  </si>
  <si>
    <t>Remo Clear Emp Reso</t>
  </si>
  <si>
    <t>Remo Ctd Amb Reso</t>
  </si>
  <si>
    <t>Evans G1 Coated Reso</t>
  </si>
  <si>
    <t>Evans G2 Coated Reso</t>
  </si>
  <si>
    <t>Evans G1 Clear Reso</t>
  </si>
  <si>
    <t>Evans G2 Clear Reso</t>
  </si>
  <si>
    <t>S300</t>
  </si>
  <si>
    <t xml:space="preserve">Evans 300 Clear Snare </t>
  </si>
  <si>
    <t>Bass Batter</t>
  </si>
  <si>
    <t>dv = E26</t>
  </si>
  <si>
    <t>{[6_6T]:[BA03]}</t>
  </si>
  <si>
    <t>{[7_6T]:[BA03]}</t>
  </si>
  <si>
    <t>{[8_6T]:[BA03]}</t>
  </si>
  <si>
    <t>{[6_8T]:[BA03]}</t>
  </si>
  <si>
    <t>{[7_8T]:[BA03]}</t>
  </si>
  <si>
    <t>{[8_8T]:[BA03]}</t>
  </si>
  <si>
    <t>{[7_10T]:[BA03]}</t>
  </si>
  <si>
    <t>{[7H_10T]:[BA03]}</t>
  </si>
  <si>
    <t>{[8_10T]:[BA03]}</t>
  </si>
  <si>
    <t>{[9_10T]:[BA03]}</t>
  </si>
  <si>
    <t>{[8_12T]:[BA03]}</t>
  </si>
  <si>
    <t>{[9_12T]:[BA03]}</t>
  </si>
  <si>
    <t>{[10_12T]:[BA03]}</t>
  </si>
  <si>
    <t>{[11_12T]:[BA03]}</t>
  </si>
  <si>
    <t>{[9_13T]:[BA03]}</t>
  </si>
  <si>
    <t>{[10_13T]:[BA03]}</t>
  </si>
  <si>
    <t>{[11_13T]:[BA03]}</t>
  </si>
  <si>
    <t>{[12_13T]:[BA03]}</t>
  </si>
  <si>
    <t>{[9_14T]:[BA03]}</t>
  </si>
  <si>
    <t>{[10_14T]:[BA03]}</t>
  </si>
  <si>
    <t>{[11_14T]:[BA03]}</t>
  </si>
  <si>
    <t>{[12_14T]:[BA03]}</t>
  </si>
  <si>
    <t>{[13_14T]:[BA03]}</t>
  </si>
  <si>
    <t>{[14_14T]:[BA03]}</t>
  </si>
  <si>
    <t>{[12_15T]:[BA03]}</t>
  </si>
  <si>
    <t>{[13_15T]:[BA03]}</t>
  </si>
  <si>
    <t>{[14_15T]:[BA03]}</t>
  </si>
  <si>
    <t>{[13_16T]:[BA03]}</t>
  </si>
  <si>
    <t>{[14_16T]:[BA03]}</t>
  </si>
  <si>
    <t>{[15_16T]:[BA03]}</t>
  </si>
  <si>
    <t>{[16_16T]:[BA03]}</t>
  </si>
  <si>
    <t>{[16_18T]:[BA03]}</t>
  </si>
  <si>
    <t>{[12_14F]:[BA03]}</t>
  </si>
  <si>
    <t>{[13_14F]:[BA03]}</t>
  </si>
  <si>
    <t>{[14_14F]:[BA03]}</t>
  </si>
  <si>
    <t>{[13_15F]:[BA03]}</t>
  </si>
  <si>
    <t>{[14_15F]:[BA03]}</t>
  </si>
  <si>
    <t>{[13_16F]:[BA03]}</t>
  </si>
  <si>
    <t>{[14_16F]:[BA03]}</t>
  </si>
  <si>
    <t>{[15_16F]:[BA03]}</t>
  </si>
  <si>
    <t>{[16_16F]:[BA03]}</t>
  </si>
  <si>
    <t>{[16_18F]:[BA03]}</t>
  </si>
  <si>
    <t>{[6_6T]:[BE03]}</t>
  </si>
  <si>
    <t>{[7_6T]:[BE03]}</t>
  </si>
  <si>
    <t>{[8_6T]:[BE03]}</t>
  </si>
  <si>
    <t>{[6_8T]:[BE03]}</t>
  </si>
  <si>
    <t>{[7_8T]:[BE03]}</t>
  </si>
  <si>
    <t>{[8_8T]:[BE03]}</t>
  </si>
  <si>
    <t>{[7_10T]:[BE03]}</t>
  </si>
  <si>
    <t>{[7H_10T]:[BE03]}</t>
  </si>
  <si>
    <t>{[8_10T]:[BE03]}</t>
  </si>
  <si>
    <t>{[9_10T]:[BE03]}</t>
  </si>
  <si>
    <t>{[8_12T]:[BE03]}</t>
  </si>
  <si>
    <t>{[9_12T]:[BE03]}</t>
  </si>
  <si>
    <t>{[10_12T]:[BE03]}</t>
  </si>
  <si>
    <t>{[11_12T]:[BE03]}</t>
  </si>
  <si>
    <t>{[9_13T]:[BE03]}</t>
  </si>
  <si>
    <t>{[10_13T]:[BE03]}</t>
  </si>
  <si>
    <t>{[11_13T]:[BE03]}</t>
  </si>
  <si>
    <t>{[12_13T]:[BE03]}</t>
  </si>
  <si>
    <t>{[9_14T]:[BE03]}</t>
  </si>
  <si>
    <t>{[10_14T]:[BE03]}</t>
  </si>
  <si>
    <t>{[11_14T]:[BE03]}</t>
  </si>
  <si>
    <t>{[12_14T]:[BE03]}</t>
  </si>
  <si>
    <t>{[13_14T]:[BE03]}</t>
  </si>
  <si>
    <t>{[14_14T]:[BE03]}</t>
  </si>
  <si>
    <t>{[12_15T]:[BE03]}</t>
  </si>
  <si>
    <t>{[13_15T]:[BE03]}</t>
  </si>
  <si>
    <t>{[14_15T]:[BE03]}</t>
  </si>
  <si>
    <t>{[13_16T]:[BE03]}</t>
  </si>
  <si>
    <t>{[14_16T]:[BE03]}</t>
  </si>
  <si>
    <t>{[15_16T]:[BE03]}</t>
  </si>
  <si>
    <t>{[16_16T]:[BE03]}</t>
  </si>
  <si>
    <t>{[16_18T]:[BE03]}</t>
  </si>
  <si>
    <t>{[12_14F]:[BE03]}</t>
  </si>
  <si>
    <t>{[13_14F]:[BE03]}</t>
  </si>
  <si>
    <t>{[14_14F]:[BE03]}</t>
  </si>
  <si>
    <t>{[13_15F]:[BE03]}</t>
  </si>
  <si>
    <t>{[14_15F]:[BE03]}</t>
  </si>
  <si>
    <t>{[13_16F]:[BE03]}</t>
  </si>
  <si>
    <t>{[14_16F]:[BE03]}</t>
  </si>
  <si>
    <t>{[15_16F]:[BE03]}</t>
  </si>
  <si>
    <t>{[16_16F]:[BE03]}</t>
  </si>
  <si>
    <t>{[16_18F]:[BE03]}</t>
  </si>
  <si>
    <t>{[6_6T]:[BA01]}</t>
  </si>
  <si>
    <t>{[7_6T]:[BA01]}</t>
  </si>
  <si>
    <t>{[8_6T]:[BA01]}</t>
  </si>
  <si>
    <t>{[6_8T]:[BA01]}</t>
  </si>
  <si>
    <t>{[7_8T]:[BA01]}</t>
  </si>
  <si>
    <t>{[8_8T]:[BA01]}</t>
  </si>
  <si>
    <t>{[7_10T]:[BA01]}</t>
  </si>
  <si>
    <t>{[7H_10T]:[BA01]}</t>
  </si>
  <si>
    <t>{[8_10T]:[BA01]}</t>
  </si>
  <si>
    <t>{[9_10T]:[BA01]}</t>
  </si>
  <si>
    <t>{[8_12T]:[BA01]}</t>
  </si>
  <si>
    <t>{[9_12T]:[BA01]}</t>
  </si>
  <si>
    <t>{[10_12T]:[BA01]}</t>
  </si>
  <si>
    <t>{[11_12T]:[BA01]}</t>
  </si>
  <si>
    <t>{[9_13T]:[BA01]}</t>
  </si>
  <si>
    <t>{[10_13T]:[BA01]}</t>
  </si>
  <si>
    <t>{[11_13T]:[BA01]}</t>
  </si>
  <si>
    <t>{[12_13T]:[BA01]}</t>
  </si>
  <si>
    <t>{[9_14T]:[BA01]}</t>
  </si>
  <si>
    <t>{[10_14T]:[BA01]}</t>
  </si>
  <si>
    <t>{[11_14T]:[BA01]}</t>
  </si>
  <si>
    <t>{[12_14T]:[BA01]}</t>
  </si>
  <si>
    <t>{[13_14T]:[BA01]}</t>
  </si>
  <si>
    <t>{[14_14T]:[BA01]}</t>
  </si>
  <si>
    <t>{[12_15T]:[BA01]}</t>
  </si>
  <si>
    <t>{[13_15T]:[BA01]}</t>
  </si>
  <si>
    <t>{[14_15T]:[BA01]}</t>
  </si>
  <si>
    <t>{[13_16T]:[BA01]}</t>
  </si>
  <si>
    <t>{[14_16T]:[BA01]}</t>
  </si>
  <si>
    <t>{[15_16T]:[BA01]}</t>
  </si>
  <si>
    <t>{[16_16T]:[BA01]}</t>
  </si>
  <si>
    <t>{[16_18T]:[BA01]}</t>
  </si>
  <si>
    <t>{[12_14F]:[BA01]}</t>
  </si>
  <si>
    <t>{[13_14F]:[BA01]}</t>
  </si>
  <si>
    <t>{[14_14F]:[BA01]}</t>
  </si>
  <si>
    <t>{[13_15F]:[BA01]}</t>
  </si>
  <si>
    <t>{[14_15F]:[BA01]}</t>
  </si>
  <si>
    <t>{[13_16F]:[BA01]}</t>
  </si>
  <si>
    <t>{[14_16F]:[BA01]}</t>
  </si>
  <si>
    <t>{[15_16F]:[BA01]}</t>
  </si>
  <si>
    <t>{[16_16F]:[BA01]}</t>
  </si>
  <si>
    <t>{[16_18F]:[BA01]}</t>
  </si>
  <si>
    <t>{[6_6T]:[G1CW]}</t>
  </si>
  <si>
    <t>{[7_6T]:[G1CW]}</t>
  </si>
  <si>
    <t>{[8_6T]:[G1CW]}</t>
  </si>
  <si>
    <t>{[6_8T]:[G1CW]}</t>
  </si>
  <si>
    <t>{[7_8T]:[G1CW]}</t>
  </si>
  <si>
    <t>{[8_8T]:[G1CW]}</t>
  </si>
  <si>
    <t>{[7_10T]:[G1CW]}</t>
  </si>
  <si>
    <t>{[7H_10T]:[G1CW]}</t>
  </si>
  <si>
    <t>{[8_10T]:[G1CW]}</t>
  </si>
  <si>
    <t>{[9_10T]:[G1CW]}</t>
  </si>
  <si>
    <t>{[8_12T]:[G1CW]}</t>
  </si>
  <si>
    <t>{[9_12T]:[G1CW]}</t>
  </si>
  <si>
    <t>{[10_12T]:[G1CW]}</t>
  </si>
  <si>
    <t>{[11_12T]:[G1CW]}</t>
  </si>
  <si>
    <t>{[9_13T]:[G1CW]}</t>
  </si>
  <si>
    <t>{[10_13T]:[G1CW]}</t>
  </si>
  <si>
    <t>{[11_13T]:[G1CW]}</t>
  </si>
  <si>
    <t>{[12_13T]:[G1CW]}</t>
  </si>
  <si>
    <t>{[9_14T]:[G1CW]}</t>
  </si>
  <si>
    <t>{[10_14T]:[G1CW]}</t>
  </si>
  <si>
    <t>{[11_14T]:[G1CW]}</t>
  </si>
  <si>
    <t>{[12_14T]:[G1CW]}</t>
  </si>
  <si>
    <t>{[13_14T]:[G1CW]}</t>
  </si>
  <si>
    <t>{[14_14T]:[G1CW]}</t>
  </si>
  <si>
    <t>{[12_15T]:[G1CW]}</t>
  </si>
  <si>
    <t>{[13_15T]:[G1CW]}</t>
  </si>
  <si>
    <t>{[14_15T]:[G1CW]}</t>
  </si>
  <si>
    <t>{[13_16T]:[G1CW]}</t>
  </si>
  <si>
    <t>{[14_16T]:[G1CW]}</t>
  </si>
  <si>
    <t>{[15_16T]:[G1CW]}</t>
  </si>
  <si>
    <t>{[16_16T]:[G1CW]}</t>
  </si>
  <si>
    <t>{[16_18T]:[G1CW]}</t>
  </si>
  <si>
    <t>{[12_14F]:[G1CW]}</t>
  </si>
  <si>
    <t>{[13_14F]:[G1CW]}</t>
  </si>
  <si>
    <t>{[14_14F]:[G1CW]}</t>
  </si>
  <si>
    <t>{[13_15F]:[G1CW]}</t>
  </si>
  <si>
    <t>{[14_15F]:[G1CW]}</t>
  </si>
  <si>
    <t>{[13_16F]:[G1CW]}</t>
  </si>
  <si>
    <t>{[14_16F]:[G1CW]}</t>
  </si>
  <si>
    <t>{[15_16F]:[G1CW]}</t>
  </si>
  <si>
    <t>{[16_16F]:[G1CW]}</t>
  </si>
  <si>
    <t>{[16_18F]:[G1CW]}</t>
  </si>
  <si>
    <t>{[6_6T]:[G2CW]}</t>
  </si>
  <si>
    <t>{[7_6T]:[G2CW]}</t>
  </si>
  <si>
    <t>{[8_6T]:[G2CW]}</t>
  </si>
  <si>
    <t>{[6_8T]:[G2CW]}</t>
  </si>
  <si>
    <t>{[7_8T]:[G2CW]}</t>
  </si>
  <si>
    <t>{[8_8T]:[G2CW]}</t>
  </si>
  <si>
    <t>{[7_10T]:[G2CW]}</t>
  </si>
  <si>
    <t>{[7H_10T]:[G2CW]}</t>
  </si>
  <si>
    <t>{[8_10T]:[G2CW]}</t>
  </si>
  <si>
    <t>{[9_10T]:[G2CW]}</t>
  </si>
  <si>
    <t>{[8_12T]:[G2CW]}</t>
  </si>
  <si>
    <t>{[9_12T]:[G2CW]}</t>
  </si>
  <si>
    <t>{[10_12T]:[G2CW]}</t>
  </si>
  <si>
    <t>{[11_12T]:[G2CW]}</t>
  </si>
  <si>
    <t>{[9_13T]:[G2CW]}</t>
  </si>
  <si>
    <t>{[10_13T]:[G2CW]}</t>
  </si>
  <si>
    <t>{[11_13T]:[G2CW]}</t>
  </si>
  <si>
    <t>{[12_13T]:[G2CW]}</t>
  </si>
  <si>
    <t>{[9_14T]:[G2CW]}</t>
  </si>
  <si>
    <t>{[10_14T]:[G2CW]}</t>
  </si>
  <si>
    <t>{[11_14T]:[G2CW]}</t>
  </si>
  <si>
    <t>{[12_14T]:[G2CW]}</t>
  </si>
  <si>
    <t>{[13_14T]:[G2CW]}</t>
  </si>
  <si>
    <t>{[14_14T]:[G2CW]}</t>
  </si>
  <si>
    <t>{[12_15T]:[G2CW]}</t>
  </si>
  <si>
    <t>{[13_15T]:[G2CW]}</t>
  </si>
  <si>
    <t>{[14_15T]:[G2CW]}</t>
  </si>
  <si>
    <t>{[13_16T]:[G2CW]}</t>
  </si>
  <si>
    <t>{[14_16T]:[G2CW]}</t>
  </si>
  <si>
    <t>{[15_16T]:[G2CW]}</t>
  </si>
  <si>
    <t>{[16_16T]:[G2CW]}</t>
  </si>
  <si>
    <t>{[16_18T]:[G2CW]}</t>
  </si>
  <si>
    <t>{[12_14F]:[G2CW]}</t>
  </si>
  <si>
    <t>{[13_14F]:[G2CW]}</t>
  </si>
  <si>
    <t>{[14_14F]:[G2CW]}</t>
  </si>
  <si>
    <t>{[13_15F]:[G2CW]}</t>
  </si>
  <si>
    <t>{[14_15F]:[G2CW]}</t>
  </si>
  <si>
    <t>{[13_16F]:[G2CW]}</t>
  </si>
  <si>
    <t>{[14_16F]:[G2CW]}</t>
  </si>
  <si>
    <t>{[15_16F]:[G2CW]}</t>
  </si>
  <si>
    <t>{[16_16F]:[G2CW]}</t>
  </si>
  <si>
    <t>{[16_18F]:[G2CW]}</t>
  </si>
  <si>
    <t>{[6_6T]:[G1CL]}</t>
  </si>
  <si>
    <t>{[7_6T]:[G1CL]}</t>
  </si>
  <si>
    <t>{[8_6T]:[G1CL]}</t>
  </si>
  <si>
    <t>{[6_8T]:[G1CL]}</t>
  </si>
  <si>
    <t>{[7_8T]:[G1CL]}</t>
  </si>
  <si>
    <t>{[8_8T]:[G1CL]}</t>
  </si>
  <si>
    <t>{[7_10T]:[G1CL]}</t>
  </si>
  <si>
    <t>{[7H_10T]:[G1CL]}</t>
  </si>
  <si>
    <t>{[8_10T]:[G1CL]}</t>
  </si>
  <si>
    <t>{[9_10T]:[G1CL]}</t>
  </si>
  <si>
    <t>{[8_12T]:[G1CL]}</t>
  </si>
  <si>
    <t>{[9_12T]:[G1CL]}</t>
  </si>
  <si>
    <t>{[10_12T]:[G1CL]}</t>
  </si>
  <si>
    <t>{[11_12T]:[G1CL]}</t>
  </si>
  <si>
    <t>{[9_13T]:[G1CL]}</t>
  </si>
  <si>
    <t>{[10_13T]:[G1CL]}</t>
  </si>
  <si>
    <t>{[11_13T]:[G1CL]}</t>
  </si>
  <si>
    <t>{[12_13T]:[G1CL]}</t>
  </si>
  <si>
    <t>{[9_14T]:[G1CL]}</t>
  </si>
  <si>
    <t>{[10_14T]:[G1CL]}</t>
  </si>
  <si>
    <t>{[11_14T]:[G1CL]}</t>
  </si>
  <si>
    <t>{[12_14T]:[G1CL]}</t>
  </si>
  <si>
    <t>{[13_14T]:[G1CL]}</t>
  </si>
  <si>
    <t>{[14_14T]:[G1CL]}</t>
  </si>
  <si>
    <t>{[12_15T]:[G1CL]}</t>
  </si>
  <si>
    <t>{[13_15T]:[G1CL]}</t>
  </si>
  <si>
    <t>{[14_15T]:[G1CL]}</t>
  </si>
  <si>
    <t>{[13_16T]:[G1CL]}</t>
  </si>
  <si>
    <t>{[14_16T]:[G1CL]}</t>
  </si>
  <si>
    <t>{[15_16T]:[G1CL]}</t>
  </si>
  <si>
    <t>{[16_16T]:[G1CL]}</t>
  </si>
  <si>
    <t>{[16_18T]:[G1CL]}</t>
  </si>
  <si>
    <t>{[12_14F]:[G1CL]}</t>
  </si>
  <si>
    <t>{[13_14F]:[G1CL]}</t>
  </si>
  <si>
    <t>{[14_14F]:[G1CL]}</t>
  </si>
  <si>
    <t>{[13_15F]:[G1CL]}</t>
  </si>
  <si>
    <t>{[14_15F]:[G1CL]}</t>
  </si>
  <si>
    <t>{[13_16F]:[G1CL]}</t>
  </si>
  <si>
    <t>{[14_16F]:[G1CL]}</t>
  </si>
  <si>
    <t>{[15_16F]:[G1CL]}</t>
  </si>
  <si>
    <t>{[16_16F]:[G1CL]}</t>
  </si>
  <si>
    <t>{[16_18F]:[G1CL]}</t>
  </si>
  <si>
    <t>{[6_6T]:[G2CL]}</t>
  </si>
  <si>
    <t>{[7_6T]:[G2CL]}</t>
  </si>
  <si>
    <t>{[8_6T]:[G2CL]}</t>
  </si>
  <si>
    <t>{[6_8T]:[G2CL]}</t>
  </si>
  <si>
    <t>{[7_8T]:[G2CL]}</t>
  </si>
  <si>
    <t>{[8_8T]:[G2CL]}</t>
  </si>
  <si>
    <t>{[7_10T]:[G2CL]}</t>
  </si>
  <si>
    <t>{[7H_10T]:[G2CL]}</t>
  </si>
  <si>
    <t>{[8_10T]:[G2CL]}</t>
  </si>
  <si>
    <t>{[9_10T]:[G2CL]}</t>
  </si>
  <si>
    <t>{[8_12T]:[G2CL]}</t>
  </si>
  <si>
    <t>{[9_12T]:[G2CL]}</t>
  </si>
  <si>
    <t>{[10_12T]:[G2CL]}</t>
  </si>
  <si>
    <t>{[11_12T]:[G2CL]}</t>
  </si>
  <si>
    <t>{[9_13T]:[G2CL]}</t>
  </si>
  <si>
    <t>{[10_13T]:[G2CL]}</t>
  </si>
  <si>
    <t>{[11_13T]:[G2CL]}</t>
  </si>
  <si>
    <t>{[12_13T]:[G2CL]}</t>
  </si>
  <si>
    <t>{[9_14T]:[G2CL]}</t>
  </si>
  <si>
    <t>{[10_14T]:[G2CL]}</t>
  </si>
  <si>
    <t>{[11_14T]:[G2CL]}</t>
  </si>
  <si>
    <t>{[12_14T]:[G2CL]}</t>
  </si>
  <si>
    <t>{[13_14T]:[G2CL]}</t>
  </si>
  <si>
    <t>{[14_14T]:[G2CL]}</t>
  </si>
  <si>
    <t>{[12_15T]:[G2CL]}</t>
  </si>
  <si>
    <t>{[13_15T]:[G2CL]}</t>
  </si>
  <si>
    <t>{[14_15T]:[G2CL]}</t>
  </si>
  <si>
    <t>{[13_16T]:[G2CL]}</t>
  </si>
  <si>
    <t>{[14_16T]:[G2CL]}</t>
  </si>
  <si>
    <t>{[15_16T]:[G2CL]}</t>
  </si>
  <si>
    <t>{[16_16T]:[G2CL]}</t>
  </si>
  <si>
    <t>{[16_18T]:[G2CL]}</t>
  </si>
  <si>
    <t>{[12_14F]:[G2CL]}</t>
  </si>
  <si>
    <t>{[13_14F]:[G2CL]}</t>
  </si>
  <si>
    <t>{[14_14F]:[G2CL]}</t>
  </si>
  <si>
    <t>{[13_15F]:[G2CL]}</t>
  </si>
  <si>
    <t>{[14_15F]:[G2CL]}</t>
  </si>
  <si>
    <t>{[13_16F]:[G2CL]}</t>
  </si>
  <si>
    <t>{[14_16F]:[G2CL]}</t>
  </si>
  <si>
    <t>{[15_16F]:[G2CL]}</t>
  </si>
  <si>
    <t>{[16_16F]:[G2CL]}</t>
  </si>
  <si>
    <t>{[16_18F]:[G2CL]}</t>
  </si>
  <si>
    <t>{[6_12S]:[S300]}</t>
  </si>
  <si>
    <t>{[3H_13S]:[S300]}</t>
  </si>
  <si>
    <t>{[6_13S]:[S300]}</t>
  </si>
  <si>
    <t>{[3H_14S]:[S300]}</t>
  </si>
  <si>
    <t>{[5_14S]:[S300]}</t>
  </si>
  <si>
    <t>{[5_14x8S]:[S300]}</t>
  </si>
  <si>
    <t>{[5H_14S]:[S300]}</t>
  </si>
  <si>
    <t>{[5H_14x8S]:[S300]}</t>
  </si>
  <si>
    <t>{[6H_14S]:[S300]}</t>
  </si>
  <si>
    <t>{[6H_14x8S]:[S300]}</t>
  </si>
  <si>
    <t>{[8_14S]:[S300]}</t>
  </si>
  <si>
    <t>{[10_14S]:[S300]}</t>
  </si>
  <si>
    <t>{[4_14S]:[S300]}</t>
  </si>
  <si>
    <t>{[4_14x8S]:[S300]}</t>
  </si>
  <si>
    <t>{[12_18B]:[BKBL]}</t>
  </si>
  <si>
    <t>{[14_18B]:[BKBL]}</t>
  </si>
  <si>
    <t>{[16_18B]:[BKBL]}</t>
  </si>
  <si>
    <t>{[12_20B]:[BKBL]}</t>
  </si>
  <si>
    <t>{[14_20B]:[BKBL]}</t>
  </si>
  <si>
    <t>{[16_20B]:[BKBL]}</t>
  </si>
  <si>
    <t>{[18_20B]:[BKBL]}</t>
  </si>
  <si>
    <t>{[20_20B]:[BKBL]}</t>
  </si>
  <si>
    <t>{[12_22B]:[BKBL]}</t>
  </si>
  <si>
    <t>{[14_22B]:[BKBL]}</t>
  </si>
  <si>
    <t>{[16_22B]:[BKBL]}</t>
  </si>
  <si>
    <t>{[18_22B]:[BKBL]}</t>
  </si>
  <si>
    <t>{[20_22B]:[BKBL]}</t>
  </si>
  <si>
    <t>{[12_24B]:[BKBL]}</t>
  </si>
  <si>
    <t>{[14_24B]:[BKBL]}</t>
  </si>
  <si>
    <t>{[16_24B]:[BKBL]}</t>
  </si>
  <si>
    <t>{[18_24B]:[BKBL]}</t>
  </si>
  <si>
    <t>{[20_24B]:[BKBL]}</t>
  </si>
  <si>
    <t>{[12_26B]:[BKBL]}</t>
  </si>
  <si>
    <t>{[14_26B]:[BKBL]}</t>
  </si>
  <si>
    <t>{[16_26B]:[BKBL]}</t>
  </si>
  <si>
    <t>{[12_18B]:[CLBL]}</t>
  </si>
  <si>
    <t>{[14_18B]:[CLBL]}</t>
  </si>
  <si>
    <t>{[16_18B]:[CLBL]}</t>
  </si>
  <si>
    <t>{[12_20B]:[CLBL]}</t>
  </si>
  <si>
    <t>{[14_20B]:[CLBL]}</t>
  </si>
  <si>
    <t>{[16_20B]:[CLBL]}</t>
  </si>
  <si>
    <t>{[18_20B]:[CLBL]}</t>
  </si>
  <si>
    <t>{[20_20B]:[CLBL]}</t>
  </si>
  <si>
    <t>{[12_22B]:[CLBL]}</t>
  </si>
  <si>
    <t>{[14_22B]:[CLBL]}</t>
  </si>
  <si>
    <t>{[16_22B]:[CLBL]}</t>
  </si>
  <si>
    <t>{[18_22B]:[CLBL]}</t>
  </si>
  <si>
    <t>{[20_22B]:[CLBL]}</t>
  </si>
  <si>
    <t>{[12_24B]:[CLBL]}</t>
  </si>
  <si>
    <t>{[14_24B]:[CLBL]}</t>
  </si>
  <si>
    <t>{[16_24B]:[CLBL]}</t>
  </si>
  <si>
    <t>{[18_24B]:[CLBL]}</t>
  </si>
  <si>
    <t>{[20_24B]:[CLBL]}</t>
  </si>
  <si>
    <t>{[12_26B]:[CLBL]}</t>
  </si>
  <si>
    <t>{[14_26B]:[CLBL]}</t>
  </si>
  <si>
    <t>{[16_26B]:[CLBL]}</t>
  </si>
  <si>
    <t>{[12_18B]:[SWBL]}</t>
  </si>
  <si>
    <t>{[14_18B]:[SWBL]}</t>
  </si>
  <si>
    <t>{[16_18B]:[SWBL]}</t>
  </si>
  <si>
    <t>{[12_20B]:[SWBL]}</t>
  </si>
  <si>
    <t>{[14_20B]:[SWBL]}</t>
  </si>
  <si>
    <t>{[16_20B]:[SWBL]}</t>
  </si>
  <si>
    <t>{[18_20B]:[SWBL]}</t>
  </si>
  <si>
    <t>{[20_20B]:[SWBL]}</t>
  </si>
  <si>
    <t>{[12_22B]:[SWBL]}</t>
  </si>
  <si>
    <t>{[14_22B]:[SWBL]}</t>
  </si>
  <si>
    <t>{[16_22B]:[SWBL]}</t>
  </si>
  <si>
    <t>{[18_22B]:[SWBL]}</t>
  </si>
  <si>
    <t>{[20_22B]:[SWBL]}</t>
  </si>
  <si>
    <t>{[12_24B]:[SWBL]}</t>
  </si>
  <si>
    <t>{[14_24B]:[SWBL]}</t>
  </si>
  <si>
    <t>{[16_24B]:[SWBL]}</t>
  </si>
  <si>
    <t>{[18_24B]:[SWBL]}</t>
  </si>
  <si>
    <t>{[20_24B]:[SWBL]}</t>
  </si>
  <si>
    <t>{[12_26B]:[SWBL]}</t>
  </si>
  <si>
    <t>{[14_26B]:[SWBL]}</t>
  </si>
  <si>
    <t>{[16_26B]:[SWBL]}</t>
  </si>
  <si>
    <t>{[12_18B]:[BKSL]}</t>
  </si>
  <si>
    <t>{[14_18B]:[BKSL]}</t>
  </si>
  <si>
    <t>{[16_18B]:[BKSL]}</t>
  </si>
  <si>
    <t>{[12_20B]:[BKSL]}</t>
  </si>
  <si>
    <t>{[14_20B]:[BKSL]}</t>
  </si>
  <si>
    <t>{[16_20B]:[BKSL]}</t>
  </si>
  <si>
    <t>{[18_20B]:[BKSL]}</t>
  </si>
  <si>
    <t>{[20_20B]:[BKSL]}</t>
  </si>
  <si>
    <t>{[12_22B]:[BKSL]}</t>
  </si>
  <si>
    <t>{[14_22B]:[BKSL]}</t>
  </si>
  <si>
    <t>{[16_22B]:[BKSL]}</t>
  </si>
  <si>
    <t>{[18_22B]:[BKSL]}</t>
  </si>
  <si>
    <t>{[20_22B]:[BKSL]}</t>
  </si>
  <si>
    <t>{[12_24B]:[BKSL]}</t>
  </si>
  <si>
    <t>{[14_24B]:[BKSL]}</t>
  </si>
  <si>
    <t>{[16_24B]:[BKSL]}</t>
  </si>
  <si>
    <t>{[18_24B]:[BKSL]}</t>
  </si>
  <si>
    <t>{[20_24B]:[BKSL]}</t>
  </si>
  <si>
    <t>{[12_26B]:[BKSL]}</t>
  </si>
  <si>
    <t>{[14_26B]:[BKSL]}</t>
  </si>
  <si>
    <t>{[16_26B]:[BKSL]}</t>
  </si>
  <si>
    <t>{[12_18B]:[CLSL]}</t>
  </si>
  <si>
    <t>{[14_18B]:[CLSL]}</t>
  </si>
  <si>
    <t>{[16_18B]:[CLSL]}</t>
  </si>
  <si>
    <t>{[12_20B]:[CLSL]}</t>
  </si>
  <si>
    <t>{[14_20B]:[CLSL]}</t>
  </si>
  <si>
    <t>{[16_20B]:[CLSL]}</t>
  </si>
  <si>
    <t>{[18_20B]:[CLSL]}</t>
  </si>
  <si>
    <t>{[20_20B]:[CLSL]}</t>
  </si>
  <si>
    <t>{[12_22B]:[CLSL]}</t>
  </si>
  <si>
    <t>{[14_22B]:[CLSL]}</t>
  </si>
  <si>
    <t>{[16_22B]:[CLSL]}</t>
  </si>
  <si>
    <t>{[18_22B]:[CLSL]}</t>
  </si>
  <si>
    <t>{[20_22B]:[CLSL]}</t>
  </si>
  <si>
    <t>{[12_24B]:[CLSL]}</t>
  </si>
  <si>
    <t>{[14_24B]:[CLSL]}</t>
  </si>
  <si>
    <t>{[16_24B]:[CLSL]}</t>
  </si>
  <si>
    <t>{[18_24B]:[CLSL]}</t>
  </si>
  <si>
    <t>{[20_24B]:[CLSL]}</t>
  </si>
  <si>
    <t>{[12_26B]:[CLSL]}</t>
  </si>
  <si>
    <t>{[14_26B]:[CLSL]}</t>
  </si>
  <si>
    <t>{[16_26B]:[CLSL]}</t>
  </si>
  <si>
    <t>{[12_18B]:[SWSL]}</t>
  </si>
  <si>
    <t>{[14_18B]:[SWSL]}</t>
  </si>
  <si>
    <t>{[16_18B]:[SWSL]}</t>
  </si>
  <si>
    <t>{[12_20B]:[SWSL]}</t>
  </si>
  <si>
    <t>{[14_20B]:[SWSL]}</t>
  </si>
  <si>
    <t>{[16_20B]:[SWSL]}</t>
  </si>
  <si>
    <t>{[18_20B]:[SWSL]}</t>
  </si>
  <si>
    <t>{[20_20B]:[SWSL]}</t>
  </si>
  <si>
    <t>{[12_22B]:[SWSL]}</t>
  </si>
  <si>
    <t>{[14_22B]:[SWSL]}</t>
  </si>
  <si>
    <t>{[16_22B]:[SWSL]}</t>
  </si>
  <si>
    <t>{[18_22B]:[SWSL]}</t>
  </si>
  <si>
    <t>{[20_22B]:[SWSL]}</t>
  </si>
  <si>
    <t>{[12_24B]:[SWSL]}</t>
  </si>
  <si>
    <t>{[14_24B]:[SWSL]}</t>
  </si>
  <si>
    <t>{[16_24B]:[SWSL]}</t>
  </si>
  <si>
    <t>{[18_24B]:[SWSL]}</t>
  </si>
  <si>
    <t>{[20_24B]:[SWSL]}</t>
  </si>
  <si>
    <t>{[12_26B]:[SWSL]}</t>
  </si>
  <si>
    <t>{[14_26B]:[SWSL]}</t>
  </si>
  <si>
    <t>{[16_26B]:[SWSL]}</t>
  </si>
  <si>
    <t>Tom Reso</t>
  </si>
  <si>
    <t>Floor Reso</t>
  </si>
  <si>
    <t>Default by Size</t>
  </si>
  <si>
    <t>If Popcorn</t>
  </si>
  <si>
    <t>These heads NOT available on all</t>
  </si>
  <si>
    <t>if 14"</t>
  </si>
  <si>
    <t>Snare side head</t>
  </si>
  <si>
    <t>size code</t>
  </si>
  <si>
    <t>A8</t>
  </si>
  <si>
    <t>Ebony Pearl</t>
  </si>
  <si>
    <t>c</t>
  </si>
  <si>
    <t>Ludwig 'Diamond' Bracket</t>
  </si>
  <si>
    <t>Rocker Single 9.5mm</t>
  </si>
  <si>
    <t>Rocker Double 9.5mm</t>
  </si>
  <si>
    <t>ATLAS Double 12mm</t>
  </si>
  <si>
    <t>ATLAS Single 12mm</t>
  </si>
  <si>
    <t>ATLAS Arch 12mm</t>
  </si>
  <si>
    <t>Atlas Mnts/Legs 12mm</t>
  </si>
  <si>
    <t>Triad Brkts/Legs 12mm</t>
  </si>
  <si>
    <t>Clsc Ludwig Legs 9.5mm</t>
  </si>
  <si>
    <t>Atlas Mount 12mm</t>
  </si>
  <si>
    <t>Ludwig Classic 9.5mm</t>
  </si>
  <si>
    <t>Vibraband w/Ludwig 9.5mm</t>
  </si>
  <si>
    <t>Triad Bracket 12mm</t>
  </si>
  <si>
    <t>Vibraband w/Triad 12mm</t>
  </si>
  <si>
    <t>Less Mount / Holder</t>
  </si>
  <si>
    <t>same options for all types</t>
  </si>
  <si>
    <t>Rev 10/28/25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</si>
</sst>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$&quot;#,##0"/>
    <numFmt numFmtId="165" formatCode="&quot;$&quot;#,##0.00"/>
  </numFmts>
  <fonts count="57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0" tint="-0.249977111117893"/>
      <name val="Calibri"/>
      <family val="2"/>
      <scheme val="minor"/>
    </font>
    <font>
      <sz val="11"/>
      <color rgb="FF00B05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0"/>
      <name val="Arial"/>
      <family val="2"/>
    </font>
    <font>
      <sz val="10"/>
      <name val="Tahoma"/>
      <family val="2"/>
    </font>
    <font>
      <sz val="10"/>
      <color rgb="FFFF0000"/>
      <name val="Arial"/>
      <family val="2"/>
    </font>
    <font>
      <sz val="11"/>
      <color theme="0"/>
      <name val="Calibri"/>
      <family val="2"/>
      <scheme val="minor"/>
    </font>
    <font>
      <sz val="10"/>
      <color rgb="FF00B050"/>
      <name val="Arial"/>
      <family val="2"/>
    </font>
    <font>
      <b/>
      <sz val="12"/>
      <color theme="1"/>
      <name val="Calibri"/>
      <family val="2"/>
      <scheme val="minor"/>
    </font>
    <font>
      <b/>
      <sz val="11"/>
      <color rgb="FF00B050"/>
      <name val="Calibri"/>
      <family val="2"/>
      <scheme val="minor"/>
    </font>
    <font>
      <sz val="11"/>
      <color rgb="FF7030A0"/>
      <name val="Calibri"/>
      <family val="2"/>
      <scheme val="minor"/>
    </font>
    <font>
      <sz val="14"/>
      <color rgb="FF00B0F0"/>
      <name val="Calibri"/>
      <family val="2"/>
      <scheme val="minor"/>
    </font>
    <font>
      <sz val="26"/>
      <color theme="1"/>
      <name val="Calibri"/>
      <family val="2"/>
      <scheme val="minor"/>
    </font>
    <font>
      <sz val="10"/>
      <color rgb="FFFF0000"/>
      <name val="Tahoma"/>
      <family val="2"/>
    </font>
    <font>
      <b/>
      <sz val="11"/>
      <color theme="0"/>
      <name val="Calibri"/>
      <family val="2"/>
      <scheme val="minor"/>
    </font>
    <font>
      <sz val="10"/>
      <color theme="0"/>
      <name val="Arial"/>
      <family val="2"/>
    </font>
    <font>
      <sz val="9"/>
      <color rgb="FF141414"/>
      <name val="Segoe UI"/>
      <family val="2"/>
    </font>
    <font>
      <sz val="10"/>
      <color rgb="FF7030A0"/>
      <name val="Arial"/>
      <family val="2"/>
    </font>
    <font>
      <b/>
      <sz val="14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1"/>
      <color theme="5"/>
      <name val="Calibri"/>
      <family val="2"/>
      <scheme val="minor"/>
    </font>
    <font>
      <sz val="9"/>
      <color rgb="FF7030A0"/>
      <name val="Calibri"/>
      <family val="2"/>
      <scheme val="minor"/>
    </font>
    <font>
      <sz val="10"/>
      <color rgb="FF00B0F0"/>
      <name val="Arial"/>
      <family val="2"/>
    </font>
    <font>
      <sz val="11"/>
      <color indexed="8"/>
      <name val="Calibri"/>
      <family val="2"/>
      <scheme val="minor"/>
    </font>
    <font>
      <sz val="18"/>
      <name val="Tahoma"/>
      <family val="2"/>
    </font>
    <font>
      <sz val="18"/>
      <name val="Arial"/>
      <family val="2"/>
    </font>
    <font>
      <sz val="16"/>
      <name val="Arial"/>
      <family val="2"/>
    </font>
    <font>
      <sz val="16"/>
      <name val="Tahoma"/>
      <family val="2"/>
    </font>
    <font>
      <b/>
      <sz val="10"/>
      <name val="Arial"/>
      <family val="2"/>
    </font>
    <font>
      <sz val="10"/>
      <color rgb="FF0070C0"/>
      <name val="Arial"/>
      <family val="2"/>
    </font>
    <font>
      <sz val="10"/>
      <color rgb="FF00B050"/>
      <name val="Tahoma"/>
      <family val="2"/>
    </font>
    <font>
      <sz val="8"/>
      <name val="Calibri"/>
      <family val="2"/>
      <scheme val="minor"/>
    </font>
    <font>
      <sz val="10"/>
      <color rgb="FF7030A0"/>
      <name val="Tahoma"/>
      <family val="2"/>
    </font>
    <font>
      <sz val="20"/>
      <name val="Arial"/>
      <family val="2"/>
    </font>
    <font>
      <sz val="10"/>
      <color theme="0" tint="-0.249977111117893"/>
      <name val="Arial"/>
      <family val="2"/>
    </font>
    <font>
      <sz val="10"/>
      <color theme="0" tint="-0.249977111117893"/>
      <name val="Tahoma"/>
      <family val="2"/>
    </font>
    <font>
      <b/>
      <sz val="16"/>
      <name val="Arial"/>
      <family val="2"/>
    </font>
    <font>
      <b/>
      <sz val="11"/>
      <name val="Calibri"/>
      <family val="2"/>
      <scheme val="minor"/>
    </font>
    <font>
      <sz val="11"/>
      <color rgb="FFFFC000"/>
      <name val="Calibri"/>
      <family val="2"/>
      <scheme val="minor"/>
    </font>
    <font>
      <sz val="10"/>
      <color rgb="FFFFC000"/>
      <name val="Tahoma"/>
      <family val="2"/>
    </font>
    <font>
      <sz val="10"/>
      <color rgb="FFFFC000"/>
      <name val="Arial"/>
      <family val="2"/>
    </font>
    <font>
      <sz val="10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0"/>
      <name val="Tahoma"/>
      <family val="2"/>
    </font>
    <font>
      <sz val="10"/>
      <color rgb="FF000000"/>
      <name val="Arial"/>
      <family val="2"/>
    </font>
    <font>
      <sz val="11"/>
      <color rgb="FF000000"/>
      <name val="Calibri"/>
      <family val="2"/>
      <scheme val="minor"/>
    </font>
    <font>
      <sz val="10"/>
      <color rgb="FF00B0F0"/>
      <name val="Tahoma"/>
      <family val="2"/>
    </font>
    <font>
      <sz val="11"/>
      <color rgb="FF00B0F0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  <font>
      <sz val="8"/>
      <color theme="0"/>
      <name val="Calibri"/>
      <family val="2"/>
      <scheme val="minor"/>
    </font>
    <font>
      <sz val="10"/>
      <color theme="0" tint="-0.14999847407452621"/>
      <name val="Arial"/>
      <family val="2"/>
    </font>
    <font>
      <sz val="10"/>
      <color theme="0" tint="-0.14999847407452621"/>
      <name val="Tahoma"/>
      <family val="2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59999389629810485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27" fillId="0" borderId="0"/>
  </cellStyleXfs>
  <cellXfs count="263">
    <xf numFmtId="0" fontId="0" fillId="0" borderId="0" xfId="0"/>
    <xf numFmtId="0" fontId="3" fillId="0" borderId="0" xfId="0" applyFont="1" applyAlignment="1">
      <alignment horizontal="left"/>
    </xf>
    <xf numFmtId="0" fontId="2" fillId="0" borderId="0" xfId="0" applyFont="1"/>
    <xf numFmtId="0" fontId="3" fillId="0" borderId="0" xfId="0" applyFont="1"/>
    <xf numFmtId="0" fontId="0" fillId="0" borderId="0" xfId="0" applyAlignment="1">
      <alignment horizontal="left"/>
    </xf>
    <xf numFmtId="0" fontId="1" fillId="0" borderId="0" xfId="0" applyFont="1" applyAlignment="1">
      <alignment horizontal="right"/>
    </xf>
    <xf numFmtId="0" fontId="5" fillId="0" borderId="0" xfId="0" applyFont="1"/>
    <xf numFmtId="0" fontId="1" fillId="0" borderId="0" xfId="0" applyFont="1"/>
    <xf numFmtId="0" fontId="6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0" fontId="4" fillId="0" borderId="0" xfId="0" applyFont="1"/>
    <xf numFmtId="0" fontId="7" fillId="0" borderId="0" xfId="0" applyFont="1" applyAlignment="1">
      <alignment horizontal="center"/>
    </xf>
    <xf numFmtId="49" fontId="7" fillId="0" borderId="0" xfId="0" applyNumberFormat="1" applyFont="1" applyAlignment="1">
      <alignment horizontal="center"/>
    </xf>
    <xf numFmtId="0" fontId="8" fillId="0" borderId="0" xfId="0" applyFont="1" applyAlignment="1">
      <alignment horizontal="center"/>
    </xf>
    <xf numFmtId="49" fontId="8" fillId="0" borderId="0" xfId="0" applyNumberFormat="1" applyFont="1" applyAlignment="1">
      <alignment horizontal="center"/>
    </xf>
    <xf numFmtId="0" fontId="9" fillId="0" borderId="0" xfId="0" applyFont="1" applyAlignment="1">
      <alignment horizontal="center"/>
    </xf>
    <xf numFmtId="0" fontId="7" fillId="0" borderId="0" xfId="0" applyFont="1" applyAlignment="1">
      <alignment horizontal="left"/>
    </xf>
    <xf numFmtId="0" fontId="11" fillId="0" borderId="0" xfId="0" applyFont="1" applyAlignment="1">
      <alignment horizontal="left"/>
    </xf>
    <xf numFmtId="0" fontId="10" fillId="0" borderId="0" xfId="0" applyFont="1" applyAlignment="1">
      <alignment horizontal="right"/>
    </xf>
    <xf numFmtId="0" fontId="10" fillId="0" borderId="0" xfId="0" applyFont="1"/>
    <xf numFmtId="0" fontId="2" fillId="0" borderId="0" xfId="0" applyFont="1" applyAlignment="1">
      <alignment horizontal="center"/>
    </xf>
    <xf numFmtId="0" fontId="7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8" fillId="0" borderId="0" xfId="0" applyFont="1" applyAlignment="1">
      <alignment horizontal="left"/>
    </xf>
    <xf numFmtId="0" fontId="0" fillId="0" borderId="2" xfId="0" applyBorder="1" applyAlignment="1">
      <alignment horizontal="center"/>
    </xf>
    <xf numFmtId="0" fontId="3" fillId="0" borderId="0" xfId="0" applyFont="1" applyAlignment="1">
      <alignment horizontal="center"/>
    </xf>
    <xf numFmtId="0" fontId="2" fillId="0" borderId="5" xfId="0" applyFont="1" applyBorder="1" applyAlignment="1">
      <alignment horizontal="center"/>
    </xf>
    <xf numFmtId="0" fontId="0" fillId="0" borderId="6" xfId="0" applyBorder="1"/>
    <xf numFmtId="0" fontId="0" fillId="0" borderId="7" xfId="0" applyBorder="1"/>
    <xf numFmtId="164" fontId="5" fillId="0" borderId="0" xfId="0" applyNumberFormat="1" applyFont="1" applyAlignment="1">
      <alignment horizontal="center"/>
    </xf>
    <xf numFmtId="0" fontId="13" fillId="0" borderId="0" xfId="0" applyFont="1" applyAlignment="1">
      <alignment horizontal="center"/>
    </xf>
    <xf numFmtId="0" fontId="0" fillId="2" borderId="1" xfId="0" applyFill="1" applyBorder="1" applyProtection="1">
      <protection locked="0"/>
    </xf>
    <xf numFmtId="0" fontId="14" fillId="0" borderId="0" xfId="0" applyFont="1"/>
    <xf numFmtId="0" fontId="15" fillId="0" borderId="0" xfId="0" applyFont="1" applyAlignment="1">
      <alignment horizontal="left" vertical="center"/>
    </xf>
    <xf numFmtId="0" fontId="12" fillId="0" borderId="0" xfId="0" applyFont="1" applyAlignment="1">
      <alignment horizontal="center"/>
    </xf>
    <xf numFmtId="0" fontId="9" fillId="0" borderId="0" xfId="0" applyFont="1" applyAlignment="1">
      <alignment horizontal="left"/>
    </xf>
    <xf numFmtId="0" fontId="0" fillId="0" borderId="0" xfId="0" applyAlignment="1">
      <alignment vertical="center" wrapText="1"/>
    </xf>
    <xf numFmtId="0" fontId="10" fillId="0" borderId="6" xfId="0" applyFont="1" applyBorder="1" applyAlignment="1">
      <alignment horizontal="left"/>
    </xf>
    <xf numFmtId="0" fontId="10" fillId="0" borderId="7" xfId="0" applyFont="1" applyBorder="1"/>
    <xf numFmtId="0" fontId="17" fillId="0" borderId="0" xfId="0" applyFont="1" applyAlignment="1">
      <alignment horizontal="center"/>
    </xf>
    <xf numFmtId="0" fontId="2" fillId="0" borderId="1" xfId="0" applyFont="1" applyBorder="1" applyAlignment="1">
      <alignment horizontal="right"/>
    </xf>
    <xf numFmtId="0" fontId="11" fillId="0" borderId="0" xfId="0" applyFont="1"/>
    <xf numFmtId="0" fontId="2" fillId="0" borderId="1" xfId="0" applyFont="1" applyBorder="1" applyAlignment="1">
      <alignment horizontal="center"/>
    </xf>
    <xf numFmtId="0" fontId="0" fillId="4" borderId="0" xfId="0" applyFill="1"/>
    <xf numFmtId="0" fontId="10" fillId="0" borderId="0" xfId="0" applyFont="1" applyAlignment="1">
      <alignment horizontal="left"/>
    </xf>
    <xf numFmtId="0" fontId="0" fillId="0" borderId="0" xfId="0" applyProtection="1">
      <protection locked="0"/>
    </xf>
    <xf numFmtId="0" fontId="2" fillId="0" borderId="4" xfId="0" applyFont="1" applyBorder="1" applyAlignment="1">
      <alignment horizontal="left"/>
    </xf>
    <xf numFmtId="0" fontId="1" fillId="0" borderId="0" xfId="0" applyFont="1" applyAlignment="1">
      <alignment horizontal="left"/>
    </xf>
    <xf numFmtId="0" fontId="19" fillId="0" borderId="0" xfId="0" applyFont="1" applyAlignment="1">
      <alignment horizontal="left" vertical="center"/>
    </xf>
    <xf numFmtId="0" fontId="18" fillId="0" borderId="0" xfId="0" applyFont="1"/>
    <xf numFmtId="0" fontId="20" fillId="0" borderId="0" xfId="0" applyFont="1"/>
    <xf numFmtId="0" fontId="19" fillId="0" borderId="0" xfId="0" applyFont="1" applyAlignment="1">
      <alignment vertical="center"/>
    </xf>
    <xf numFmtId="0" fontId="15" fillId="0" borderId="0" xfId="0" applyFont="1"/>
    <xf numFmtId="0" fontId="3" fillId="2" borderId="2" xfId="0" applyFont="1" applyFill="1" applyBorder="1" applyAlignment="1" applyProtection="1">
      <alignment horizontal="center"/>
      <protection locked="0"/>
    </xf>
    <xf numFmtId="0" fontId="0" fillId="2" borderId="2" xfId="0" applyFill="1" applyBorder="1" applyProtection="1">
      <protection locked="0"/>
    </xf>
    <xf numFmtId="0" fontId="22" fillId="0" borderId="0" xfId="0" applyFont="1" applyAlignment="1">
      <alignment horizontal="center"/>
    </xf>
    <xf numFmtId="0" fontId="22" fillId="0" borderId="0" xfId="0" applyFont="1"/>
    <xf numFmtId="0" fontId="0" fillId="0" borderId="0" xfId="0" applyAlignment="1">
      <alignment wrapText="1"/>
    </xf>
    <xf numFmtId="164" fontId="3" fillId="0" borderId="0" xfId="0" applyNumberFormat="1" applyFont="1" applyAlignment="1">
      <alignment horizontal="left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/>
    </xf>
    <xf numFmtId="0" fontId="21" fillId="0" borderId="0" xfId="0" applyFont="1" applyAlignment="1">
      <alignment horizontal="center"/>
    </xf>
    <xf numFmtId="0" fontId="11" fillId="0" borderId="0" xfId="0" applyFont="1" applyAlignment="1">
      <alignment horizontal="center"/>
    </xf>
    <xf numFmtId="0" fontId="0" fillId="0" borderId="0" xfId="0" applyAlignment="1">
      <alignment vertical="center"/>
    </xf>
    <xf numFmtId="0" fontId="23" fillId="0" borderId="0" xfId="0" applyFont="1" applyAlignment="1">
      <alignment horizontal="center"/>
    </xf>
    <xf numFmtId="165" fontId="5" fillId="0" borderId="0" xfId="0" applyNumberFormat="1" applyFont="1" applyAlignment="1">
      <alignment horizontal="left"/>
    </xf>
    <xf numFmtId="165" fontId="5" fillId="0" borderId="0" xfId="0" applyNumberFormat="1" applyFont="1" applyAlignment="1">
      <alignment horizontal="center"/>
    </xf>
    <xf numFmtId="0" fontId="2" fillId="0" borderId="4" xfId="0" applyFont="1" applyBorder="1"/>
    <xf numFmtId="0" fontId="24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9" fillId="0" borderId="0" xfId="0" applyFont="1" applyAlignment="1">
      <alignment horizontal="left" vertical="center"/>
    </xf>
    <xf numFmtId="2" fontId="7" fillId="0" borderId="0" xfId="0" applyNumberFormat="1" applyFont="1" applyAlignment="1">
      <alignment horizontal="center"/>
    </xf>
    <xf numFmtId="0" fontId="7" fillId="3" borderId="0" xfId="0" applyFont="1" applyFill="1" applyAlignment="1">
      <alignment horizontal="center"/>
    </xf>
    <xf numFmtId="16" fontId="25" fillId="0" borderId="0" xfId="0" applyNumberFormat="1" applyFont="1"/>
    <xf numFmtId="2" fontId="9" fillId="0" borderId="0" xfId="0" applyNumberFormat="1" applyFont="1" applyAlignment="1">
      <alignment horizontal="center"/>
    </xf>
    <xf numFmtId="0" fontId="17" fillId="0" borderId="0" xfId="0" applyFont="1" applyAlignment="1">
      <alignment horizontal="left"/>
    </xf>
    <xf numFmtId="0" fontId="9" fillId="0" borderId="0" xfId="0" applyFont="1"/>
    <xf numFmtId="14" fontId="25" fillId="0" borderId="0" xfId="0" applyNumberFormat="1" applyFont="1" applyAlignment="1">
      <alignment horizontal="right"/>
    </xf>
    <xf numFmtId="0" fontId="0" fillId="0" borderId="2" xfId="0" applyBorder="1"/>
    <xf numFmtId="0" fontId="28" fillId="0" borderId="0" xfId="0" quotePrefix="1" applyFont="1" applyAlignment="1">
      <alignment horizontal="right"/>
    </xf>
    <xf numFmtId="0" fontId="30" fillId="0" borderId="0" xfId="0" applyFont="1" applyAlignment="1">
      <alignment horizontal="right"/>
    </xf>
    <xf numFmtId="0" fontId="11" fillId="3" borderId="0" xfId="0" applyFont="1" applyFill="1"/>
    <xf numFmtId="0" fontId="31" fillId="0" borderId="0" xfId="0" quotePrefix="1" applyFont="1" applyAlignment="1">
      <alignment horizontal="right"/>
    </xf>
    <xf numFmtId="0" fontId="11" fillId="4" borderId="0" xfId="0" applyFont="1" applyFill="1"/>
    <xf numFmtId="0" fontId="29" fillId="4" borderId="0" xfId="0" applyFont="1" applyFill="1"/>
    <xf numFmtId="0" fontId="8" fillId="0" borderId="0" xfId="0" applyFont="1"/>
    <xf numFmtId="0" fontId="32" fillId="0" borderId="0" xfId="0" applyFont="1"/>
    <xf numFmtId="0" fontId="32" fillId="0" borderId="0" xfId="0" applyFont="1" applyAlignment="1">
      <alignment horizontal="center"/>
    </xf>
    <xf numFmtId="0" fontId="21" fillId="0" borderId="0" xfId="0" applyFont="1"/>
    <xf numFmtId="0" fontId="33" fillId="0" borderId="0" xfId="0" applyFont="1"/>
    <xf numFmtId="0" fontId="7" fillId="0" borderId="0" xfId="0" applyFont="1"/>
    <xf numFmtId="165" fontId="8" fillId="0" borderId="0" xfId="0" applyNumberFormat="1" applyFont="1"/>
    <xf numFmtId="165" fontId="34" fillId="0" borderId="0" xfId="0" applyNumberFormat="1" applyFont="1" applyAlignment="1">
      <alignment horizontal="center"/>
    </xf>
    <xf numFmtId="0" fontId="7" fillId="4" borderId="0" xfId="0" applyFont="1" applyFill="1"/>
    <xf numFmtId="0" fontId="26" fillId="0" borderId="0" xfId="0" applyFont="1"/>
    <xf numFmtId="0" fontId="19" fillId="6" borderId="0" xfId="0" applyFont="1" applyFill="1"/>
    <xf numFmtId="0" fontId="19" fillId="6" borderId="0" xfId="0" applyFont="1" applyFill="1" applyAlignment="1">
      <alignment horizontal="center"/>
    </xf>
    <xf numFmtId="0" fontId="8" fillId="3" borderId="0" xfId="0" applyFont="1" applyFill="1" applyAlignment="1">
      <alignment horizontal="center"/>
    </xf>
    <xf numFmtId="0" fontId="7" fillId="0" borderId="0" xfId="0" quotePrefix="1" applyFont="1"/>
    <xf numFmtId="0" fontId="8" fillId="0" borderId="0" xfId="0" quotePrefix="1" applyFont="1" applyAlignment="1">
      <alignment horizontal="center"/>
    </xf>
    <xf numFmtId="0" fontId="17" fillId="0" borderId="0" xfId="0" applyFont="1"/>
    <xf numFmtId="0" fontId="30" fillId="0" borderId="0" xfId="0" quotePrefix="1" applyFont="1" applyAlignment="1">
      <alignment horizontal="right"/>
    </xf>
    <xf numFmtId="0" fontId="8" fillId="0" borderId="0" xfId="0" applyFont="1" applyAlignment="1">
      <alignment horizontal="center" wrapText="1"/>
    </xf>
    <xf numFmtId="0" fontId="16" fillId="0" borderId="0" xfId="0" applyFont="1" applyAlignment="1">
      <alignment horizontal="center" vertical="center"/>
    </xf>
    <xf numFmtId="0" fontId="7" fillId="0" borderId="0" xfId="0" quotePrefix="1" applyFont="1" applyAlignment="1">
      <alignment horizontal="center"/>
    </xf>
    <xf numFmtId="0" fontId="11" fillId="4" borderId="0" xfId="0" applyFont="1" applyFill="1" applyAlignment="1">
      <alignment horizontal="center" vertical="center"/>
    </xf>
    <xf numFmtId="0" fontId="36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0" fontId="8" fillId="0" borderId="0" xfId="0" quotePrefix="1" applyFont="1"/>
    <xf numFmtId="0" fontId="5" fillId="0" borderId="0" xfId="0" applyFont="1" applyAlignment="1">
      <alignment horizontal="center"/>
    </xf>
    <xf numFmtId="0" fontId="37" fillId="0" borderId="0" xfId="0" applyFont="1" applyAlignment="1">
      <alignment horizontal="right"/>
    </xf>
    <xf numFmtId="0" fontId="7" fillId="5" borderId="0" xfId="0" applyFont="1" applyFill="1"/>
    <xf numFmtId="0" fontId="11" fillId="5" borderId="0" xfId="0" applyFont="1" applyFill="1"/>
    <xf numFmtId="14" fontId="7" fillId="0" borderId="0" xfId="0" applyNumberFormat="1" applyFont="1" applyAlignment="1">
      <alignment horizontal="center"/>
    </xf>
    <xf numFmtId="0" fontId="38" fillId="0" borderId="0" xfId="0" applyFont="1" applyAlignment="1">
      <alignment horizontal="left"/>
    </xf>
    <xf numFmtId="0" fontId="38" fillId="0" borderId="0" xfId="0" applyFont="1" applyAlignment="1">
      <alignment horizontal="center"/>
    </xf>
    <xf numFmtId="0" fontId="0" fillId="5" borderId="0" xfId="0" applyFill="1"/>
    <xf numFmtId="0" fontId="39" fillId="0" borderId="0" xfId="0" applyFont="1" applyAlignment="1">
      <alignment horizontal="center"/>
    </xf>
    <xf numFmtId="0" fontId="40" fillId="0" borderId="0" xfId="0" applyFont="1" applyAlignment="1">
      <alignment horizontal="right"/>
    </xf>
    <xf numFmtId="0" fontId="4" fillId="0" borderId="0" xfId="0" applyFont="1" applyAlignment="1">
      <alignment horizontal="center"/>
    </xf>
    <xf numFmtId="0" fontId="38" fillId="0" borderId="0" xfId="0" applyFont="1"/>
    <xf numFmtId="0" fontId="9" fillId="5" borderId="0" xfId="0" applyFont="1" applyFill="1" applyAlignment="1">
      <alignment horizontal="center"/>
    </xf>
    <xf numFmtId="0" fontId="3" fillId="0" borderId="0" xfId="0" applyFont="1" applyProtection="1">
      <protection locked="0"/>
    </xf>
    <xf numFmtId="0" fontId="0" fillId="7" borderId="0" xfId="0" applyFill="1" applyAlignment="1">
      <alignment horizontal="center"/>
    </xf>
    <xf numFmtId="0" fontId="3" fillId="7" borderId="0" xfId="0" applyFont="1" applyFill="1" applyAlignment="1">
      <alignment vertical="center"/>
    </xf>
    <xf numFmtId="0" fontId="0" fillId="7" borderId="0" xfId="0" applyFill="1"/>
    <xf numFmtId="0" fontId="8" fillId="7" borderId="0" xfId="0" applyFont="1" applyFill="1" applyAlignment="1">
      <alignment horizontal="center"/>
    </xf>
    <xf numFmtId="0" fontId="3" fillId="7" borderId="0" xfId="0" applyFont="1" applyFill="1"/>
    <xf numFmtId="0" fontId="42" fillId="0" borderId="0" xfId="0" applyFont="1"/>
    <xf numFmtId="165" fontId="43" fillId="0" borderId="0" xfId="0" applyNumberFormat="1" applyFont="1" applyAlignment="1">
      <alignment horizontal="center"/>
    </xf>
    <xf numFmtId="0" fontId="44" fillId="0" borderId="0" xfId="0" applyFont="1" applyAlignment="1">
      <alignment horizontal="center"/>
    </xf>
    <xf numFmtId="0" fontId="42" fillId="0" borderId="0" xfId="0" applyFont="1" applyAlignment="1">
      <alignment horizontal="left"/>
    </xf>
    <xf numFmtId="0" fontId="44" fillId="0" borderId="0" xfId="0" applyFont="1" applyAlignment="1">
      <alignment horizontal="left"/>
    </xf>
    <xf numFmtId="0" fontId="43" fillId="0" borderId="0" xfId="0" applyFont="1" applyAlignment="1">
      <alignment horizontal="center"/>
    </xf>
    <xf numFmtId="0" fontId="0" fillId="3" borderId="0" xfId="0" applyFill="1"/>
    <xf numFmtId="0" fontId="45" fillId="0" borderId="0" xfId="0" applyFont="1"/>
    <xf numFmtId="0" fontId="46" fillId="0" borderId="0" xfId="0" applyFont="1" applyAlignment="1">
      <alignment horizontal="right" vertical="center"/>
    </xf>
    <xf numFmtId="0" fontId="0" fillId="2" borderId="2" xfId="0" applyFill="1" applyBorder="1" applyAlignment="1">
      <alignment horizontal="center"/>
    </xf>
    <xf numFmtId="0" fontId="47" fillId="0" borderId="0" xfId="0" applyFont="1" applyAlignment="1">
      <alignment horizontal="center"/>
    </xf>
    <xf numFmtId="0" fontId="11" fillId="6" borderId="0" xfId="0" applyFont="1" applyFill="1"/>
    <xf numFmtId="49" fontId="9" fillId="0" borderId="0" xfId="0" applyNumberFormat="1" applyFont="1" applyAlignment="1">
      <alignment horizontal="center"/>
    </xf>
    <xf numFmtId="0" fontId="48" fillId="0" borderId="0" xfId="0" applyFont="1" applyAlignment="1">
      <alignment vertical="center"/>
    </xf>
    <xf numFmtId="165" fontId="17" fillId="0" borderId="0" xfId="0" applyNumberFormat="1" applyFont="1"/>
    <xf numFmtId="0" fontId="1" fillId="0" borderId="0" xfId="0" applyFont="1" applyAlignment="1">
      <alignment horizontal="center"/>
    </xf>
    <xf numFmtId="49" fontId="0" fillId="0" borderId="0" xfId="0" applyNumberFormat="1" applyAlignment="1">
      <alignment horizontal="center"/>
    </xf>
    <xf numFmtId="49" fontId="17" fillId="0" borderId="0" xfId="0" applyNumberFormat="1" applyFont="1" applyAlignment="1">
      <alignment horizontal="center"/>
    </xf>
    <xf numFmtId="49" fontId="48" fillId="0" borderId="0" xfId="0" applyNumberFormat="1" applyFont="1" applyAlignment="1">
      <alignment horizontal="center"/>
    </xf>
    <xf numFmtId="0" fontId="31" fillId="0" borderId="0" xfId="0" quotePrefix="1" applyFont="1"/>
    <xf numFmtId="0" fontId="31" fillId="0" borderId="0" xfId="0" applyFont="1"/>
    <xf numFmtId="0" fontId="31" fillId="0" borderId="0" xfId="0" applyFont="1" applyAlignment="1">
      <alignment horizontal="right"/>
    </xf>
    <xf numFmtId="0" fontId="50" fillId="0" borderId="0" xfId="0" applyFont="1" applyAlignment="1">
      <alignment horizontal="left"/>
    </xf>
    <xf numFmtId="0" fontId="7" fillId="0" borderId="0" xfId="0" applyFont="1" applyAlignment="1">
      <alignment horizontal="left" vertical="center"/>
    </xf>
    <xf numFmtId="0" fontId="32" fillId="3" borderId="0" xfId="0" applyFont="1" applyFill="1"/>
    <xf numFmtId="0" fontId="42" fillId="0" borderId="0" xfId="0" applyFont="1" applyAlignment="1">
      <alignment horizontal="center"/>
    </xf>
    <xf numFmtId="0" fontId="42" fillId="3" borderId="0" xfId="0" applyFont="1" applyFill="1" applyAlignment="1">
      <alignment horizontal="center"/>
    </xf>
    <xf numFmtId="0" fontId="7" fillId="3" borderId="0" xfId="0" applyFont="1" applyFill="1"/>
    <xf numFmtId="0" fontId="2" fillId="0" borderId="0" xfId="0" applyFont="1" applyAlignment="1">
      <alignment horizontal="center" vertical="center"/>
    </xf>
    <xf numFmtId="0" fontId="0" fillId="0" borderId="5" xfId="0" applyBorder="1"/>
    <xf numFmtId="0" fontId="0" fillId="0" borderId="5" xfId="0" applyBorder="1" applyAlignment="1">
      <alignment horizontal="center"/>
    </xf>
    <xf numFmtId="0" fontId="0" fillId="0" borderId="9" xfId="0" applyBorder="1"/>
    <xf numFmtId="0" fontId="0" fillId="0" borderId="8" xfId="0" applyBorder="1"/>
    <xf numFmtId="0" fontId="0" fillId="0" borderId="1" xfId="0" applyBorder="1"/>
    <xf numFmtId="0" fontId="49" fillId="0" borderId="1" xfId="0" applyFont="1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44" fillId="0" borderId="0" xfId="0" applyFont="1"/>
    <xf numFmtId="0" fontId="45" fillId="0" borderId="0" xfId="0" applyFont="1" applyAlignment="1">
      <alignment horizontal="center"/>
    </xf>
    <xf numFmtId="0" fontId="30" fillId="0" borderId="0" xfId="0" applyFont="1"/>
    <xf numFmtId="0" fontId="7" fillId="0" borderId="0" xfId="0" applyFont="1" applyAlignment="1">
      <alignment horizontal="right"/>
    </xf>
    <xf numFmtId="0" fontId="32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  <xf numFmtId="0" fontId="0" fillId="8" borderId="0" xfId="0" applyFill="1" applyAlignment="1">
      <alignment horizontal="right"/>
    </xf>
    <xf numFmtId="0" fontId="0" fillId="8" borderId="0" xfId="0" applyFill="1" applyAlignment="1">
      <alignment horizontal="center"/>
    </xf>
    <xf numFmtId="0" fontId="0" fillId="7" borderId="4" xfId="0" applyFill="1" applyBorder="1" applyAlignment="1">
      <alignment horizontal="center" vertical="center"/>
    </xf>
    <xf numFmtId="0" fontId="0" fillId="9" borderId="0" xfId="0" applyFill="1" applyAlignment="1">
      <alignment horizontal="center"/>
    </xf>
    <xf numFmtId="0" fontId="51" fillId="0" borderId="0" xfId="0" applyFont="1"/>
    <xf numFmtId="0" fontId="51" fillId="0" borderId="0" xfId="0" applyFont="1" applyAlignment="1">
      <alignment horizontal="center"/>
    </xf>
    <xf numFmtId="0" fontId="52" fillId="0" borderId="0" xfId="0" applyFont="1" applyAlignment="1">
      <alignment vertical="center"/>
    </xf>
    <xf numFmtId="0" fontId="0" fillId="10" borderId="0" xfId="0" applyFill="1"/>
    <xf numFmtId="4" fontId="0" fillId="0" borderId="0" xfId="0" applyNumberFormat="1"/>
    <xf numFmtId="0" fontId="3" fillId="5" borderId="0" xfId="0" applyFont="1" applyFill="1"/>
    <xf numFmtId="0" fontId="7" fillId="5" borderId="0" xfId="0" applyFont="1" applyFill="1" applyAlignment="1">
      <alignment horizontal="center"/>
    </xf>
    <xf numFmtId="0" fontId="21" fillId="5" borderId="0" xfId="0" applyFont="1" applyFill="1"/>
    <xf numFmtId="1" fontId="9" fillId="0" borderId="0" xfId="0" applyNumberFormat="1" applyFont="1" applyAlignment="1">
      <alignment horizontal="center"/>
    </xf>
    <xf numFmtId="0" fontId="5" fillId="0" borderId="2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0" fillId="0" borderId="2" xfId="0" applyBorder="1" applyProtection="1">
      <protection locked="0"/>
    </xf>
    <xf numFmtId="0" fontId="0" fillId="0" borderId="2" xfId="0" applyBorder="1" applyAlignment="1" applyProtection="1">
      <alignment horizontal="center"/>
      <protection locked="0"/>
    </xf>
    <xf numFmtId="0" fontId="0" fillId="0" borderId="2" xfId="0" applyBorder="1" applyAlignment="1" applyProtection="1">
      <alignment horizontal="center" shrinkToFit="1"/>
      <protection locked="0"/>
    </xf>
    <xf numFmtId="0" fontId="0" fillId="0" borderId="0" xfId="0" applyAlignment="1" applyProtection="1">
      <alignment horizontal="left" shrinkToFit="1"/>
      <protection locked="0"/>
    </xf>
    <xf numFmtId="0" fontId="0" fillId="0" borderId="0" xfId="0" quotePrefix="1" applyProtection="1">
      <protection locked="0"/>
    </xf>
    <xf numFmtId="0" fontId="0" fillId="0" borderId="3" xfId="0" applyBorder="1" applyAlignment="1">
      <alignment horizontal="center"/>
    </xf>
    <xf numFmtId="0" fontId="5" fillId="8" borderId="0" xfId="0" applyFont="1" applyFill="1" applyAlignment="1">
      <alignment horizontal="center"/>
    </xf>
    <xf numFmtId="0" fontId="0" fillId="9" borderId="0" xfId="0" applyFill="1" applyAlignment="1">
      <alignment horizontal="right"/>
    </xf>
    <xf numFmtId="0" fontId="5" fillId="9" borderId="0" xfId="0" applyFont="1" applyFill="1" applyAlignment="1">
      <alignment horizontal="center"/>
    </xf>
    <xf numFmtId="0" fontId="18" fillId="0" borderId="0" xfId="0" applyFont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3" xfId="0" applyBorder="1"/>
    <xf numFmtId="0" fontId="0" fillId="0" borderId="18" xfId="0" applyBorder="1"/>
    <xf numFmtId="0" fontId="0" fillId="0" borderId="12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3" borderId="0" xfId="0" applyFill="1" applyAlignment="1">
      <alignment horizontal="left"/>
    </xf>
    <xf numFmtId="0" fontId="41" fillId="0" borderId="0" xfId="0" applyFont="1" applyAlignment="1">
      <alignment horizontal="center"/>
    </xf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0" fillId="0" borderId="0" xfId="0" applyAlignment="1">
      <alignment horizontal="right" vertical="center"/>
    </xf>
    <xf numFmtId="0" fontId="51" fillId="0" borderId="0" xfId="0" applyFont="1" applyAlignment="1">
      <alignment vertical="center"/>
    </xf>
    <xf numFmtId="0" fontId="0" fillId="0" borderId="0" xfId="0" quotePrefix="1" applyAlignment="1">
      <alignment horizontal="center"/>
    </xf>
    <xf numFmtId="0" fontId="0" fillId="3" borderId="2" xfId="0" applyFill="1" applyBorder="1" applyAlignment="1">
      <alignment horizontal="center"/>
    </xf>
    <xf numFmtId="0" fontId="0" fillId="0" borderId="0" xfId="0" quotePrefix="1" applyAlignment="1">
      <alignment horizontal="center" shrinkToFit="1"/>
    </xf>
    <xf numFmtId="0" fontId="0" fillId="0" borderId="0" xfId="0" applyAlignment="1">
      <alignment horizontal="center" shrinkToFit="1"/>
    </xf>
    <xf numFmtId="165" fontId="0" fillId="0" borderId="0" xfId="0" applyNumberFormat="1" applyAlignment="1">
      <alignment horizontal="center"/>
    </xf>
    <xf numFmtId="0" fontId="4" fillId="0" borderId="0" xfId="0" applyFont="1" applyAlignment="1">
      <alignment horizontal="right"/>
    </xf>
    <xf numFmtId="0" fontId="11" fillId="3" borderId="0" xfId="0" applyFont="1" applyFill="1" applyAlignment="1">
      <alignment horizontal="right"/>
    </xf>
    <xf numFmtId="0" fontId="3" fillId="0" borderId="0" xfId="0" applyFont="1" applyAlignment="1">
      <alignment horizontal="right"/>
    </xf>
    <xf numFmtId="165" fontId="0" fillId="0" borderId="0" xfId="0" applyNumberFormat="1" applyAlignment="1">
      <alignment horizontal="left" vertical="center"/>
    </xf>
    <xf numFmtId="0" fontId="51" fillId="0" borderId="0" xfId="0" quotePrefix="1" applyFont="1" applyAlignment="1">
      <alignment horizontal="center" shrinkToFit="1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shrinkToFit="1"/>
    </xf>
    <xf numFmtId="0" fontId="0" fillId="0" borderId="0" xfId="0" quotePrefix="1"/>
    <xf numFmtId="0" fontId="10" fillId="0" borderId="8" xfId="0" applyFont="1" applyBorder="1" applyAlignment="1">
      <alignment horizontal="center"/>
    </xf>
    <xf numFmtId="0" fontId="54" fillId="0" borderId="0" xfId="0" applyFont="1" applyAlignment="1">
      <alignment horizontal="right"/>
    </xf>
    <xf numFmtId="0" fontId="22" fillId="0" borderId="15" xfId="0" applyFont="1" applyBorder="1" applyAlignment="1">
      <alignment horizontal="center"/>
    </xf>
    <xf numFmtId="0" fontId="7" fillId="3" borderId="0" xfId="0" applyFont="1" applyFill="1" applyAlignment="1">
      <alignment vertical="center"/>
    </xf>
    <xf numFmtId="16" fontId="7" fillId="0" borderId="0" xfId="0" applyNumberFormat="1" applyFont="1" applyAlignment="1">
      <alignment horizontal="center"/>
    </xf>
    <xf numFmtId="0" fontId="55" fillId="0" borderId="0" xfId="0" applyFont="1" applyAlignment="1">
      <alignment horizontal="center"/>
    </xf>
    <xf numFmtId="0" fontId="56" fillId="0" borderId="0" xfId="0" applyFont="1" applyAlignment="1">
      <alignment horizontal="center"/>
    </xf>
    <xf numFmtId="0" fontId="56" fillId="0" borderId="0" xfId="0" applyFont="1" applyAlignment="1">
      <alignment horizontal="left"/>
    </xf>
    <xf numFmtId="0" fontId="55" fillId="0" borderId="0" xfId="0" applyFont="1"/>
    <xf numFmtId="0" fontId="1" fillId="0" borderId="0" xfId="0" applyFont="1" applyAlignment="1">
      <alignment vertical="center"/>
    </xf>
    <xf numFmtId="0" fontId="10" fillId="0" borderId="0" xfId="0" quotePrefix="1" applyFont="1" applyAlignment="1">
      <alignment horizontal="right"/>
    </xf>
    <xf numFmtId="0" fontId="0" fillId="11" borderId="0" xfId="0" applyFill="1"/>
    <xf numFmtId="0" fontId="51" fillId="0" borderId="0" xfId="0" applyFont="1" applyAlignment="1">
      <alignment horizontal="left"/>
    </xf>
    <xf numFmtId="0" fontId="3" fillId="0" borderId="0" xfId="0" quotePrefix="1" applyFont="1" applyAlignment="1">
      <alignment horizontal="center" shrinkToFit="1"/>
    </xf>
    <xf numFmtId="0" fontId="3" fillId="0" borderId="0" xfId="0" applyFont="1" applyAlignment="1">
      <alignment horizontal="center" shrinkToFit="1"/>
    </xf>
    <xf numFmtId="0" fontId="0" fillId="3" borderId="0" xfId="0" applyFill="1" applyAlignment="1">
      <alignment horizontal="center"/>
    </xf>
    <xf numFmtId="0" fontId="11" fillId="0" borderId="0" xfId="0" applyFont="1" applyAlignment="1">
      <alignment horizontal="left" vertical="center"/>
    </xf>
    <xf numFmtId="0" fontId="11" fillId="0" borderId="0" xfId="0" applyFont="1" applyAlignment="1">
      <alignment vertical="center"/>
    </xf>
    <xf numFmtId="0" fontId="26" fillId="0" borderId="0" xfId="0" applyFont="1" applyAlignment="1">
      <alignment horizontal="left"/>
    </xf>
    <xf numFmtId="0" fontId="0" fillId="12" borderId="0" xfId="0" applyFill="1"/>
    <xf numFmtId="0" fontId="0" fillId="12" borderId="0" xfId="0" applyFill="1" applyAlignment="1">
      <alignment horizontal="center"/>
    </xf>
    <xf numFmtId="0" fontId="3" fillId="12" borderId="0" xfId="0" applyFont="1" applyFill="1"/>
    <xf numFmtId="0" fontId="0" fillId="12" borderId="0" xfId="0" applyFill="1" applyAlignment="1">
      <alignment horizontal="right"/>
    </xf>
    <xf numFmtId="0" fontId="7" fillId="12" borderId="0" xfId="0" applyFont="1" applyFill="1" applyAlignment="1">
      <alignment horizontal="left"/>
    </xf>
    <xf numFmtId="0" fontId="0" fillId="12" borderId="0" xfId="0" quotePrefix="1" applyFill="1"/>
    <xf numFmtId="0" fontId="11" fillId="12" borderId="0" xfId="0" applyFont="1" applyFill="1" applyAlignment="1">
      <alignment horizontal="left"/>
    </xf>
    <xf numFmtId="0" fontId="11" fillId="12" borderId="0" xfId="0" applyFont="1" applyFill="1" applyAlignment="1">
      <alignment horizontal="left" vertical="center"/>
    </xf>
    <xf numFmtId="0" fontId="10" fillId="0" borderId="0" xfId="0" quotePrefix="1" applyFont="1" applyAlignment="1">
      <alignment horizontal="center"/>
    </xf>
    <xf numFmtId="0" fontId="19" fillId="0" borderId="0" xfId="0" applyFont="1" applyAlignment="1">
      <alignment horizontal="center"/>
    </xf>
    <xf numFmtId="49" fontId="21" fillId="0" borderId="0" xfId="0" applyNumberFormat="1" applyFont="1" applyAlignment="1">
      <alignment horizontal="center"/>
    </xf>
    <xf numFmtId="49" fontId="36" fillId="0" borderId="0" xfId="0" applyNumberFormat="1" applyFont="1" applyAlignment="1">
      <alignment horizontal="center"/>
    </xf>
    <xf numFmtId="0" fontId="8" fillId="0" borderId="0" xfId="0" applyFont="1" applyAlignment="1">
      <alignment horizontal="center"/>
    </xf>
    <xf numFmtId="0" fontId="8" fillId="0" borderId="0" xfId="0" applyFont="1" applyAlignment="1">
      <alignment horizontal="left"/>
    </xf>
    <xf numFmtId="0" fontId="0" fillId="0" borderId="0" xfId="0"/>
    <xf numFmtId="0" fontId="53" fillId="0" borderId="3" xfId="0" applyFont="1" applyBorder="1" applyAlignment="1">
      <alignment horizontal="center"/>
    </xf>
    <xf numFmtId="0" fontId="53" fillId="0" borderId="0" xfId="0" applyFont="1" applyAlignment="1">
      <alignment horizontal="center"/>
    </xf>
    <xf numFmtId="0" fontId="0" fillId="0" borderId="0" xfId="0" applyAlignment="1">
      <alignment horizontal="center"/>
    </xf>
  </cellXfs>
  <cellStyles count="2">
    <cellStyle name="Normal" xfId="0" builtinId="0"/>
    <cellStyle name="Normal 2" xfId="1" xr:uid="{5CE88919-6AA9-4693-B9E8-D0C4E8DB7F68}"/>
  </cellStyles>
  <dxfs count="33">
    <dxf>
      <font>
        <color theme="0" tint="-0.24994659260841701"/>
      </font>
    </dxf>
    <dxf>
      <font>
        <color rgb="FF9C0006"/>
      </font>
      <fill>
        <patternFill>
          <bgColor rgb="FFFFC7CE"/>
        </patternFill>
      </fill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rgb="FF9C0006"/>
      </font>
      <fill>
        <patternFill>
          <bgColor rgb="FFFFC7CE"/>
        </patternFill>
      </fill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/>
      </font>
    </dxf>
    <dxf>
      <font>
        <color theme="0"/>
      </font>
    </dxf>
    <dxf>
      <fill>
        <patternFill>
          <bgColor rgb="FFFFFF00"/>
        </patternFill>
      </fill>
    </dxf>
    <dxf>
      <fill>
        <patternFill>
          <bgColor theme="0" tint="-4.9989318521683403E-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theme="0" tint="-0.14996795556505021"/>
      </font>
      <border>
        <left style="thin">
          <color theme="0" tint="-0.14996795556505021"/>
        </left>
        <top style="thin">
          <color theme="0" tint="-0.14996795556505021"/>
        </top>
        <bottom style="thin">
          <color theme="0" tint="-0.14996795556505021"/>
        </bottom>
        <vertical/>
        <horizontal/>
      </border>
    </dxf>
    <dxf>
      <font>
        <color theme="0" tint="-0.14996795556505021"/>
      </font>
      <border>
        <left style="thin">
          <color theme="0" tint="-0.14996795556505021"/>
        </left>
        <top style="thin">
          <color theme="0" tint="-0.14996795556505021"/>
        </top>
        <bottom style="thin">
          <color theme="0" tint="-0.14996795556505021"/>
        </bottom>
        <vertical/>
        <horizontal/>
      </border>
    </dxf>
    <dxf>
      <font>
        <color theme="0" tint="-0.14996795556505021"/>
      </font>
      <border>
        <left style="thin">
          <color theme="0" tint="-0.14996795556505021"/>
        </left>
        <top style="thin">
          <color theme="0" tint="-0.14996795556505021"/>
        </top>
        <bottom style="thin">
          <color theme="0" tint="-0.14996795556505021"/>
        </bottom>
        <vertical/>
        <horizontal/>
      </border>
    </dxf>
    <dxf>
      <font>
        <color theme="0" tint="-0.14996795556505021"/>
      </font>
      <border>
        <left style="thin">
          <color theme="0" tint="-0.14996795556505021"/>
        </left>
        <top style="thin">
          <color theme="0" tint="-0.14996795556505021"/>
        </top>
        <bottom style="thin">
          <color theme="0" tint="-0.14996795556505021"/>
        </bottom>
        <vertical/>
        <horizontal/>
      </border>
    </dxf>
    <dxf>
      <font>
        <color theme="0" tint="-0.14996795556505021"/>
      </font>
      <border>
        <left style="thin">
          <color theme="0" tint="-0.14996795556505021"/>
        </left>
        <right/>
        <top style="thin">
          <color theme="0" tint="-0.14996795556505021"/>
        </top>
        <bottom style="thin">
          <color theme="0" tint="-0.14996795556505021"/>
        </bottom>
        <vertical/>
        <horizontal/>
      </border>
    </dxf>
    <dxf>
      <font>
        <color rgb="FF00B0F0"/>
      </font>
    </dxf>
    <dxf>
      <fill>
        <patternFill>
          <bgColor theme="0" tint="-4.9989318521683403E-2"/>
        </patternFill>
      </fill>
    </dxf>
    <dxf>
      <fill>
        <patternFill>
          <bgColor rgb="FFFF0000"/>
        </patternFill>
      </fill>
    </dxf>
    <dxf>
      <fill>
        <patternFill>
          <bgColor theme="0" tint="-4.9989318521683403E-2"/>
        </patternFill>
      </fill>
    </dxf>
    <dxf>
      <font>
        <color auto="1"/>
      </font>
      <fill>
        <patternFill>
          <bgColor rgb="FFFF0000"/>
        </patternFill>
      </fill>
    </dxf>
    <dxf>
      <font>
        <color auto="1"/>
      </font>
      <fill>
        <patternFill>
          <bgColor theme="0" tint="-4.9989318521683403E-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 patternType="solid">
          <fgColor rgb="FFFF0000"/>
          <bgColor rgb="FF00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603739</xdr:colOff>
      <xdr:row>0</xdr:row>
      <xdr:rowOff>298938</xdr:rowOff>
    </xdr:from>
    <xdr:to>
      <xdr:col>2</xdr:col>
      <xdr:colOff>275493</xdr:colOff>
      <xdr:row>1</xdr:row>
      <xdr:rowOff>46892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CxnSpPr/>
      </xdr:nvCxnSpPr>
      <xdr:spPr>
        <a:xfrm>
          <a:off x="967154" y="298938"/>
          <a:ext cx="281354" cy="152400"/>
        </a:xfrm>
        <a:prstGeom prst="straightConnector1">
          <a:avLst/>
        </a:prstGeom>
        <a:ln>
          <a:solidFill>
            <a:srgbClr val="FF0000"/>
          </a:solidFill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1482743</xdr:colOff>
      <xdr:row>0</xdr:row>
      <xdr:rowOff>297926</xdr:rowOff>
    </xdr:from>
    <xdr:to>
      <xdr:col>2</xdr:col>
      <xdr:colOff>1695983</xdr:colOff>
      <xdr:row>2</xdr:row>
      <xdr:rowOff>125890</xdr:rowOff>
    </xdr:to>
    <xdr:cxnSp macro="">
      <xdr:nvCxnSpPr>
        <xdr:cNvPr id="4" name="Straight Arrow Connector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CxnSpPr/>
      </xdr:nvCxnSpPr>
      <xdr:spPr>
        <a:xfrm flipH="1">
          <a:off x="2452561" y="297926"/>
          <a:ext cx="213240" cy="425441"/>
        </a:xfrm>
        <a:prstGeom prst="straightConnector1">
          <a:avLst/>
        </a:prstGeom>
        <a:ln>
          <a:solidFill>
            <a:srgbClr val="FF0000"/>
          </a:solidFill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244134</xdr:colOff>
      <xdr:row>5</xdr:row>
      <xdr:rowOff>173795</xdr:rowOff>
    </xdr:from>
    <xdr:to>
      <xdr:col>1</xdr:col>
      <xdr:colOff>97596</xdr:colOff>
      <xdr:row>7</xdr:row>
      <xdr:rowOff>103602</xdr:rowOff>
    </xdr:to>
    <xdr:cxnSp macro="">
      <xdr:nvCxnSpPr>
        <xdr:cNvPr id="6" name="Straight Arrow Connector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CxnSpPr/>
      </xdr:nvCxnSpPr>
      <xdr:spPr>
        <a:xfrm>
          <a:off x="244134" y="1372213"/>
          <a:ext cx="220607" cy="338516"/>
        </a:xfrm>
        <a:prstGeom prst="straightConnector1">
          <a:avLst/>
        </a:prstGeom>
        <a:ln>
          <a:solidFill>
            <a:srgbClr val="FF0000"/>
          </a:solidFill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 editAs="oneCell">
    <xdr:from>
      <xdr:col>4</xdr:col>
      <xdr:colOff>209549</xdr:colOff>
      <xdr:row>2</xdr:row>
      <xdr:rowOff>6350</xdr:rowOff>
    </xdr:from>
    <xdr:to>
      <xdr:col>4</xdr:col>
      <xdr:colOff>1425084</xdr:colOff>
      <xdr:row>4</xdr:row>
      <xdr:rowOff>169372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60222" y="609023"/>
          <a:ext cx="1219345" cy="552854"/>
        </a:xfrm>
        <a:prstGeom prst="rect">
          <a:avLst/>
        </a:prstGeom>
        <a:effectLst/>
      </xdr:spPr>
    </xdr:pic>
    <xdr:clientData/>
  </xdr:twoCellAnchor>
  <xdr:twoCellAnchor editAs="oneCell">
    <xdr:from>
      <xdr:col>288</xdr:col>
      <xdr:colOff>199844</xdr:colOff>
      <xdr:row>0</xdr:row>
      <xdr:rowOff>20094</xdr:rowOff>
    </xdr:from>
    <xdr:to>
      <xdr:col>288</xdr:col>
      <xdr:colOff>1158925</xdr:colOff>
      <xdr:row>1</xdr:row>
      <xdr:rowOff>54219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2A484F0-00E6-4444-B497-5AA5F6EFA2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1234299" y="20094"/>
          <a:ext cx="962891" cy="436253"/>
        </a:xfrm>
        <a:prstGeom prst="rect">
          <a:avLst/>
        </a:prstGeom>
        <a:effectLst/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KM735"/>
  <sheetViews>
    <sheetView showRowColHeaders="0" tabSelected="1" zoomScale="110" zoomScaleNormal="110" workbookViewId="0">
      <selection activeCell="C2" sqref="C2"/>
    </sheetView>
  </sheetViews>
  <sheetFormatPr defaultRowHeight="14.4" x14ac:dyDescent="0.3"/>
  <cols>
    <col min="1" max="1" width="5.5546875" style="9" customWidth="1"/>
    <col min="3" max="3" width="26.6640625" customWidth="1"/>
    <col min="4" max="4" width="12.33203125" customWidth="1"/>
    <col min="5" max="5" width="25.109375" customWidth="1"/>
    <col min="6" max="6" width="10.6640625" customWidth="1"/>
    <col min="7" max="7" width="30.33203125" customWidth="1"/>
    <col min="8" max="8" width="10" customWidth="1"/>
    <col min="9" max="9" width="9.33203125" customWidth="1"/>
    <col min="10" max="10" width="8.33203125" customWidth="1"/>
    <col min="11" max="11" width="20" customWidth="1"/>
    <col min="12" max="12" width="10.88671875" customWidth="1"/>
    <col min="13" max="13" width="11.44140625" customWidth="1"/>
    <col min="14" max="14" width="8.88671875" customWidth="1"/>
    <col min="25" max="25" width="0" hidden="1" customWidth="1"/>
    <col min="26" max="26" width="14.77734375" hidden="1" customWidth="1"/>
    <col min="27" max="27" width="0" hidden="1" customWidth="1"/>
    <col min="28" max="28" width="9.88671875" hidden="1" customWidth="1"/>
    <col min="29" max="29" width="11.109375" hidden="1" customWidth="1"/>
    <col min="30" max="31" width="0" hidden="1" customWidth="1"/>
    <col min="32" max="32" width="9.88671875" hidden="1" customWidth="1"/>
    <col min="33" max="34" width="0" hidden="1" customWidth="1"/>
    <col min="35" max="35" width="9.5546875" hidden="1" customWidth="1"/>
    <col min="36" max="36" width="11.109375" hidden="1" customWidth="1"/>
    <col min="37" max="37" width="13.33203125" hidden="1" customWidth="1"/>
    <col min="38" max="38" width="10.77734375" hidden="1" customWidth="1"/>
    <col min="39" max="41" width="0" hidden="1" customWidth="1"/>
    <col min="42" max="42" width="10.33203125" hidden="1" customWidth="1"/>
    <col min="43" max="43" width="12.21875" hidden="1" customWidth="1"/>
    <col min="44" max="45" width="0" hidden="1" customWidth="1"/>
    <col min="46" max="46" width="10.88671875" hidden="1" customWidth="1"/>
    <col min="47" max="47" width="10" hidden="1" customWidth="1"/>
    <col min="48" max="49" width="10.77734375" hidden="1" customWidth="1"/>
    <col min="50" max="51" width="0" hidden="1" customWidth="1"/>
    <col min="52" max="52" width="10.44140625" hidden="1" customWidth="1"/>
    <col min="53" max="53" width="0" hidden="1" customWidth="1"/>
    <col min="54" max="54" width="17.88671875" hidden="1" customWidth="1"/>
    <col min="55" max="60" width="0" hidden="1" customWidth="1"/>
    <col min="61" max="61" width="10.109375" hidden="1" customWidth="1"/>
    <col min="62" max="62" width="11" hidden="1" customWidth="1"/>
    <col min="63" max="63" width="10.109375" hidden="1" customWidth="1"/>
    <col min="64" max="64" width="16.109375" hidden="1" customWidth="1"/>
    <col min="65" max="65" width="0" hidden="1" customWidth="1"/>
    <col min="66" max="66" width="23.88671875" hidden="1" customWidth="1"/>
    <col min="67" max="67" width="0" hidden="1" customWidth="1"/>
    <col min="68" max="68" width="16.109375" hidden="1" customWidth="1"/>
    <col min="69" max="70" width="0" hidden="1" customWidth="1"/>
    <col min="71" max="71" width="10.77734375" hidden="1" customWidth="1"/>
    <col min="72" max="72" width="11.6640625" hidden="1" customWidth="1"/>
    <col min="73" max="75" width="0" hidden="1" customWidth="1"/>
    <col min="76" max="76" width="10.77734375" hidden="1" customWidth="1"/>
    <col min="77" max="84" width="0" hidden="1" customWidth="1"/>
    <col min="85" max="87" width="25.5546875" hidden="1" customWidth="1"/>
    <col min="88" max="88" width="0" hidden="1" customWidth="1"/>
    <col min="89" max="89" width="16.88671875" hidden="1" customWidth="1"/>
    <col min="90" max="91" width="0" hidden="1" customWidth="1"/>
    <col min="92" max="92" width="0" style="3" hidden="1" customWidth="1"/>
    <col min="93" max="93" width="26" style="3" hidden="1" customWidth="1"/>
    <col min="94" max="94" width="15" style="3" hidden="1" customWidth="1"/>
    <col min="95" max="95" width="0" style="3" hidden="1" customWidth="1"/>
    <col min="96" max="96" width="30.109375" style="6" hidden="1" customWidth="1"/>
    <col min="97" max="98" width="0" hidden="1" customWidth="1"/>
    <col min="99" max="99" width="11.5546875" hidden="1" customWidth="1"/>
    <col min="100" max="100" width="0" hidden="1" customWidth="1"/>
    <col min="101" max="101" width="30.109375" hidden="1" customWidth="1"/>
    <col min="102" max="102" width="0" hidden="1" customWidth="1"/>
    <col min="103" max="103" width="30.109375" hidden="1" customWidth="1"/>
    <col min="104" max="107" width="12.88671875" hidden="1" customWidth="1"/>
    <col min="108" max="110" width="0" hidden="1" customWidth="1"/>
    <col min="111" max="111" width="23.109375" hidden="1" customWidth="1"/>
    <col min="112" max="117" width="0" hidden="1" customWidth="1"/>
    <col min="118" max="118" width="23.44140625" hidden="1" customWidth="1"/>
    <col min="119" max="119" width="0" hidden="1" customWidth="1"/>
    <col min="120" max="120" width="23.44140625" hidden="1" customWidth="1"/>
    <col min="121" max="129" width="0" hidden="1" customWidth="1"/>
    <col min="130" max="130" width="17" hidden="1" customWidth="1"/>
    <col min="131" max="135" width="0" hidden="1" customWidth="1"/>
    <col min="136" max="136" width="15.33203125" style="6" hidden="1" customWidth="1"/>
    <col min="137" max="138" width="0" hidden="1" customWidth="1"/>
    <col min="139" max="151" width="16.6640625" hidden="1" customWidth="1"/>
    <col min="152" max="155" width="0" hidden="1" customWidth="1"/>
    <col min="156" max="156" width="16.21875" hidden="1" customWidth="1"/>
    <col min="157" max="158" width="0" hidden="1" customWidth="1"/>
    <col min="159" max="159" width="10.109375" hidden="1" customWidth="1"/>
    <col min="160" max="160" width="0" hidden="1" customWidth="1"/>
    <col min="161" max="161" width="15.109375" style="6" hidden="1" customWidth="1"/>
    <col min="162" max="163" width="0" hidden="1" customWidth="1"/>
    <col min="164" max="176" width="17.77734375" hidden="1" customWidth="1"/>
    <col min="177" max="180" width="0" hidden="1" customWidth="1"/>
    <col min="181" max="181" width="11.6640625" hidden="1" customWidth="1"/>
    <col min="182" max="182" width="25.5546875" hidden="1" customWidth="1"/>
    <col min="183" max="186" width="0" hidden="1" customWidth="1"/>
    <col min="187" max="187" width="15.33203125" hidden="1" customWidth="1"/>
    <col min="188" max="188" width="23.88671875" style="6" hidden="1" customWidth="1"/>
    <col min="189" max="189" width="15.33203125" hidden="1" customWidth="1"/>
    <col min="190" max="191" width="0" hidden="1" customWidth="1"/>
    <col min="192" max="192" width="10.21875" hidden="1" customWidth="1"/>
    <col min="193" max="193" width="23.5546875" hidden="1" customWidth="1"/>
    <col min="194" max="197" width="0" hidden="1" customWidth="1"/>
    <col min="198" max="198" width="11.5546875" hidden="1" customWidth="1"/>
    <col min="199" max="199" width="20.5546875" hidden="1" customWidth="1"/>
    <col min="200" max="200" width="11.5546875" hidden="1" customWidth="1"/>
    <col min="201" max="203" width="0" hidden="1" customWidth="1"/>
    <col min="204" max="204" width="23" hidden="1" customWidth="1"/>
    <col min="205" max="209" width="0" hidden="1" customWidth="1"/>
    <col min="210" max="210" width="22.88671875" style="6" hidden="1" customWidth="1"/>
    <col min="211" max="214" width="0" hidden="1" customWidth="1"/>
    <col min="215" max="215" width="10.77734375" hidden="1" customWidth="1"/>
    <col min="216" max="216" width="16.88671875" hidden="1" customWidth="1"/>
    <col min="217" max="220" width="0" hidden="1" customWidth="1"/>
    <col min="221" max="221" width="15.33203125" hidden="1" customWidth="1"/>
    <col min="222" max="223" width="0" hidden="1" customWidth="1"/>
    <col min="224" max="236" width="23.88671875" hidden="1" customWidth="1"/>
    <col min="237" max="248" width="0" hidden="1" customWidth="1"/>
    <col min="249" max="249" width="12.33203125" hidden="1" customWidth="1"/>
    <col min="250" max="250" width="32.77734375" hidden="1" customWidth="1"/>
    <col min="251" max="252" width="0" hidden="1" customWidth="1"/>
    <col min="253" max="253" width="12.109375" hidden="1" customWidth="1"/>
    <col min="254" max="280" width="0" hidden="1" customWidth="1"/>
    <col min="281" max="281" width="16.6640625" hidden="1" customWidth="1"/>
    <col min="282" max="282" width="0" hidden="1" customWidth="1"/>
    <col min="286" max="286" width="11.6640625" bestFit="1" customWidth="1"/>
    <col min="287" max="287" width="18.6640625" style="9" customWidth="1"/>
    <col min="288" max="299" width="18.21875" style="9" customWidth="1"/>
  </cols>
  <sheetData>
    <row r="1" spans="1:299" ht="31.95" customHeight="1" x14ac:dyDescent="0.4">
      <c r="A1" s="209">
        <f>SUM(A2:A6,AL8:AN20,A22:A50)</f>
        <v>0</v>
      </c>
      <c r="B1" s="34" t="s">
        <v>0</v>
      </c>
      <c r="C1" s="46"/>
      <c r="G1" s="7"/>
      <c r="I1" s="51"/>
      <c r="K1" s="10"/>
      <c r="L1" s="209" t="s">
        <v>1261</v>
      </c>
      <c r="AE1" t="s">
        <v>208</v>
      </c>
      <c r="AS1" t="s">
        <v>1243</v>
      </c>
      <c r="BO1" s="80" t="s">
        <v>209</v>
      </c>
      <c r="BP1" s="85"/>
      <c r="BS1" s="80" t="s">
        <v>213</v>
      </c>
      <c r="BT1" s="82"/>
      <c r="BW1" s="80" t="s">
        <v>240</v>
      </c>
      <c r="BX1" s="84"/>
      <c r="CB1" s="80" t="s">
        <v>241</v>
      </c>
      <c r="CC1" s="82"/>
      <c r="CF1" s="80" t="s">
        <v>243</v>
      </c>
      <c r="CG1" s="44"/>
      <c r="CH1" s="44"/>
      <c r="CI1" s="44"/>
      <c r="CJ1" s="44"/>
      <c r="CK1" s="44"/>
      <c r="CN1" s="83" t="s">
        <v>389</v>
      </c>
      <c r="CO1" s="94"/>
      <c r="CP1" s="94"/>
      <c r="CQ1" s="94"/>
      <c r="CU1" s="81" t="s">
        <v>391</v>
      </c>
      <c r="CV1" s="229" t="s">
        <v>1347</v>
      </c>
      <c r="CW1" s="82"/>
      <c r="CX1" s="82"/>
      <c r="CY1" s="82"/>
      <c r="CZ1" s="42"/>
      <c r="DA1" s="81" t="s">
        <v>1078</v>
      </c>
      <c r="DB1" s="84"/>
      <c r="DC1" s="63" t="e">
        <f>IF(AND(AF2&lt;&gt;"LO",AF6&lt;&gt;"IOV"),"Yes","No")</f>
        <v>#N/A</v>
      </c>
      <c r="DF1" s="83" t="s">
        <v>393</v>
      </c>
      <c r="DG1" s="84"/>
      <c r="DJ1" s="81" t="s">
        <v>411</v>
      </c>
      <c r="DK1" s="82"/>
      <c r="DL1" s="82"/>
      <c r="DM1" s="82"/>
      <c r="DN1" s="82"/>
      <c r="DR1" s="81" t="s">
        <v>428</v>
      </c>
      <c r="DS1" s="96"/>
      <c r="DT1" s="96"/>
      <c r="DU1" s="97" t="e" cm="1">
        <f t="array" ref="DU1">INDEX(DU:DU,MATCH(AE8&amp;"LB"&amp;"NBKT",DR:DR&amp;DS:DS&amp;DT:DT,0))</f>
        <v>#N/A</v>
      </c>
      <c r="DY1" s="81" t="s">
        <v>436</v>
      </c>
      <c r="DZ1" s="84"/>
      <c r="EC1" s="81" t="s">
        <v>445</v>
      </c>
      <c r="ED1" s="82"/>
      <c r="EE1" s="82"/>
      <c r="EI1" t="s">
        <v>513</v>
      </c>
      <c r="EY1" s="102" t="s">
        <v>514</v>
      </c>
      <c r="EZ1" s="84"/>
      <c r="FC1" s="102" t="s">
        <v>522</v>
      </c>
      <c r="FD1" s="82"/>
      <c r="FE1" s="82"/>
      <c r="FH1" s="9" t="s">
        <v>530</v>
      </c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V1" s="104" t="s">
        <v>6</v>
      </c>
      <c r="FY1" s="83" t="s">
        <v>535</v>
      </c>
      <c r="FZ1" s="106" t="s">
        <v>563</v>
      </c>
      <c r="GD1" s="81" t="s">
        <v>551</v>
      </c>
      <c r="GE1" s="82"/>
      <c r="GF1" s="82"/>
      <c r="GG1" s="9"/>
      <c r="GJ1" s="81" t="s">
        <v>553</v>
      </c>
      <c r="GK1" s="106" t="s">
        <v>564</v>
      </c>
      <c r="GN1" s="81" t="s">
        <v>559</v>
      </c>
      <c r="GO1" s="82"/>
      <c r="GP1" s="82"/>
      <c r="GQ1" s="82"/>
      <c r="GR1" s="42"/>
      <c r="GU1" s="83" t="s">
        <v>565</v>
      </c>
      <c r="GV1" s="106" t="s">
        <v>579</v>
      </c>
      <c r="GY1" s="81" t="s">
        <v>567</v>
      </c>
      <c r="GZ1" s="82"/>
      <c r="HA1" s="82"/>
      <c r="HB1" s="82"/>
      <c r="HC1" s="82"/>
      <c r="HD1" s="82"/>
      <c r="HG1" s="83" t="s">
        <v>568</v>
      </c>
      <c r="HH1" s="106" t="s">
        <v>580</v>
      </c>
      <c r="HK1" s="81" t="s">
        <v>578</v>
      </c>
      <c r="HL1" s="82"/>
      <c r="HM1" s="82"/>
      <c r="HO1" s="180" t="s">
        <v>1139</v>
      </c>
      <c r="HP1" s="9"/>
      <c r="HQ1" s="9"/>
      <c r="HR1" s="9"/>
      <c r="HS1" s="9"/>
      <c r="HT1" s="9">
        <v>12</v>
      </c>
      <c r="HU1" s="9">
        <v>13</v>
      </c>
      <c r="HV1" s="9">
        <v>14</v>
      </c>
      <c r="HW1" s="9">
        <v>15</v>
      </c>
      <c r="HX1" s="9">
        <v>16</v>
      </c>
      <c r="HY1" s="9">
        <v>17</v>
      </c>
      <c r="HZ1" s="9">
        <v>18</v>
      </c>
      <c r="IA1" s="9">
        <v>19</v>
      </c>
      <c r="IB1" s="9">
        <v>20</v>
      </c>
      <c r="IE1" s="137" t="s">
        <v>885</v>
      </c>
      <c r="IF1" s="70" t="s">
        <v>526</v>
      </c>
      <c r="IG1" t="s">
        <v>1140</v>
      </c>
      <c r="IN1" t="s">
        <v>6</v>
      </c>
      <c r="IO1" t="s">
        <v>1313</v>
      </c>
      <c r="IU1" t="s">
        <v>888</v>
      </c>
      <c r="KA1" s="211" t="str">
        <f>IF(A1&gt;0,"Configuration has errors","")</f>
        <v/>
      </c>
      <c r="KB1" s="221"/>
      <c r="KC1" s="70"/>
      <c r="KD1" s="70"/>
      <c r="KE1" s="70"/>
      <c r="KF1" s="70"/>
      <c r="KG1" s="70"/>
      <c r="KH1" s="70"/>
      <c r="KI1" s="70"/>
      <c r="KJ1" s="70"/>
      <c r="KK1" s="70"/>
      <c r="KL1" s="70"/>
      <c r="KM1" s="223"/>
    </row>
    <row r="2" spans="1:299" ht="15.6" customHeight="1" thickBot="1" x14ac:dyDescent="0.4">
      <c r="A2" s="210"/>
      <c r="B2" s="21" t="s">
        <v>9</v>
      </c>
      <c r="C2" s="55"/>
      <c r="D2" s="260" t="str">
        <f>IF(A1=0,"",IF(A1=1,"One error needs attention.",CONCATENATE(A1," errors need attention")))</f>
        <v/>
      </c>
      <c r="E2" s="261"/>
      <c r="F2" s="9" t="s">
        <v>10</v>
      </c>
      <c r="G2" s="32"/>
      <c r="H2" s="50"/>
      <c r="I2" s="20"/>
      <c r="AE2" t="s">
        <v>9</v>
      </c>
      <c r="AF2" s="21" t="e">
        <f>INDEX(BO3:BO10,MATCH(AG2,BP3:BP10,0))</f>
        <v>#N/A</v>
      </c>
      <c r="AG2" s="4" t="str">
        <f>IF(C2="","",C2)</f>
        <v/>
      </c>
      <c r="AS2" t="s">
        <v>1244</v>
      </c>
      <c r="BO2" s="258"/>
      <c r="BP2" s="259"/>
      <c r="BS2" s="257" t="s">
        <v>214</v>
      </c>
      <c r="BT2" s="257"/>
      <c r="BW2" s="258"/>
      <c r="BX2" s="259"/>
      <c r="CB2" s="257"/>
      <c r="CC2" s="257"/>
      <c r="CJ2" s="9"/>
      <c r="CN2" s="86"/>
      <c r="CP2" s="86"/>
      <c r="CQ2" s="86"/>
      <c r="CU2" s="81"/>
      <c r="CV2" s="42"/>
      <c r="DF2" s="91"/>
      <c r="DR2" s="17"/>
      <c r="DX2" s="101" t="s">
        <v>446</v>
      </c>
      <c r="DY2" s="86"/>
      <c r="EC2" s="99"/>
      <c r="EE2" s="14"/>
      <c r="EI2" s="9" t="s">
        <v>447</v>
      </c>
      <c r="EJ2" s="9" t="s">
        <v>448</v>
      </c>
      <c r="EK2" s="9" t="s">
        <v>30</v>
      </c>
      <c r="EL2" s="9" t="s">
        <v>31</v>
      </c>
      <c r="EM2" s="9" t="s">
        <v>32</v>
      </c>
      <c r="EN2" s="9" t="s">
        <v>33</v>
      </c>
      <c r="EO2" s="9" t="s">
        <v>34</v>
      </c>
      <c r="EP2" s="9" t="s">
        <v>35</v>
      </c>
      <c r="EQ2" s="9" t="s">
        <v>36</v>
      </c>
      <c r="ER2" s="9" t="s">
        <v>37</v>
      </c>
      <c r="ES2" s="9" t="s">
        <v>38</v>
      </c>
      <c r="ET2" s="9" t="s">
        <v>39</v>
      </c>
      <c r="EU2" s="9" t="s">
        <v>40</v>
      </c>
      <c r="EY2" s="86"/>
      <c r="FC2" s="91" t="s">
        <v>44</v>
      </c>
      <c r="FD2" s="91" t="s">
        <v>523</v>
      </c>
      <c r="FE2" s="129" t="s">
        <v>525</v>
      </c>
      <c r="FH2" s="9" t="s">
        <v>447</v>
      </c>
      <c r="FI2" s="9" t="s">
        <v>448</v>
      </c>
      <c r="FJ2" s="9" t="s">
        <v>30</v>
      </c>
      <c r="FK2" s="9" t="s">
        <v>31</v>
      </c>
      <c r="FL2" s="9" t="s">
        <v>32</v>
      </c>
      <c r="FM2" s="9" t="s">
        <v>33</v>
      </c>
      <c r="FN2" s="9" t="s">
        <v>34</v>
      </c>
      <c r="FO2" s="9" t="s">
        <v>35</v>
      </c>
      <c r="FP2" s="9" t="s">
        <v>36</v>
      </c>
      <c r="FQ2" s="9" t="s">
        <v>37</v>
      </c>
      <c r="FR2" s="9" t="s">
        <v>38</v>
      </c>
      <c r="FS2" s="9" t="s">
        <v>39</v>
      </c>
      <c r="FT2" s="9" t="s">
        <v>40</v>
      </c>
      <c r="FY2" s="109"/>
      <c r="GA2" s="9" t="s">
        <v>1098</v>
      </c>
      <c r="GD2" s="86"/>
      <c r="GE2" s="9"/>
      <c r="GF2" s="110"/>
      <c r="GG2" s="9"/>
      <c r="GU2" s="86"/>
      <c r="HG2" s="24"/>
      <c r="HH2" s="4"/>
      <c r="HP2" s="9" t="s">
        <v>447</v>
      </c>
      <c r="HQ2" s="9" t="s">
        <v>448</v>
      </c>
      <c r="HR2" s="9" t="s">
        <v>30</v>
      </c>
      <c r="HS2" s="9" t="s">
        <v>31</v>
      </c>
      <c r="HT2" s="9" t="s">
        <v>32</v>
      </c>
      <c r="HU2" s="9" t="s">
        <v>33</v>
      </c>
      <c r="HV2" s="9" t="s">
        <v>34</v>
      </c>
      <c r="HW2" s="9" t="s">
        <v>35</v>
      </c>
      <c r="HX2" s="9" t="s">
        <v>36</v>
      </c>
      <c r="HY2" s="9" t="s">
        <v>37</v>
      </c>
      <c r="HZ2" s="9" t="s">
        <v>38</v>
      </c>
      <c r="IA2" s="9" t="s">
        <v>39</v>
      </c>
      <c r="IB2" s="9" t="s">
        <v>40</v>
      </c>
      <c r="ID2" s="9" t="s">
        <v>1883</v>
      </c>
      <c r="IF2" s="21" t="s">
        <v>21</v>
      </c>
      <c r="IG2" s="21" t="s">
        <v>15</v>
      </c>
      <c r="IH2" s="21" t="s">
        <v>16</v>
      </c>
      <c r="II2" s="21" t="s">
        <v>17</v>
      </c>
      <c r="IJ2" s="21" t="s">
        <v>18</v>
      </c>
      <c r="IK2" s="21" t="s">
        <v>19</v>
      </c>
      <c r="JZ2" s="10"/>
      <c r="KA2" s="4" t="str">
        <f>CONCATENATE("Dealer: ",G2)</f>
        <v xml:space="preserve">Dealer: </v>
      </c>
      <c r="KD2" s="4" t="str">
        <f>CONCATENATE("PO # ",G3)</f>
        <v xml:space="preserve">PO # </v>
      </c>
      <c r="KM2" s="144"/>
    </row>
    <row r="3" spans="1:299" ht="15" thickBot="1" x14ac:dyDescent="0.35">
      <c r="A3" s="210">
        <f>IF(D3="Invalid Selection",1,0)</f>
        <v>0</v>
      </c>
      <c r="B3" s="21" t="s">
        <v>41</v>
      </c>
      <c r="C3" s="189"/>
      <c r="D3" s="7" t="str">
        <f>IF(C3="","",IF(ISERROR(MATCH(C3,CY4:CY100,0))=TRUE,"Invalid Selection",""))</f>
        <v/>
      </c>
      <c r="E3" s="58"/>
      <c r="F3" s="9" t="s">
        <v>42</v>
      </c>
      <c r="G3" s="32"/>
      <c r="H3" s="50"/>
      <c r="I3" s="50"/>
      <c r="AE3" t="s">
        <v>41</v>
      </c>
      <c r="AF3" s="21" t="e">
        <f>INDEX(CN3:CN95,MATCH(AG3,CR3:CR95,0))</f>
        <v>#N/A</v>
      </c>
      <c r="AG3" s="4" t="str">
        <f>IF(C3="","",C3)</f>
        <v/>
      </c>
      <c r="AS3" t="s">
        <v>1245</v>
      </c>
      <c r="AT3" s="9"/>
      <c r="BO3" s="14" t="s">
        <v>210</v>
      </c>
      <c r="BP3" s="127" t="s">
        <v>211</v>
      </c>
      <c r="BS3" s="14" t="s">
        <v>215</v>
      </c>
      <c r="BT3" s="12" t="s">
        <v>50</v>
      </c>
      <c r="BW3" s="14" t="s">
        <v>210</v>
      </c>
      <c r="BX3" s="14" t="s">
        <v>211</v>
      </c>
      <c r="BY3" s="126" t="s">
        <v>435</v>
      </c>
      <c r="CB3" s="86" t="s">
        <v>215</v>
      </c>
      <c r="CC3" s="12" t="s">
        <v>242</v>
      </c>
      <c r="CF3" s="87" t="s">
        <v>210</v>
      </c>
      <c r="CG3" s="87" t="s">
        <v>244</v>
      </c>
      <c r="CH3" s="87" t="s">
        <v>245</v>
      </c>
      <c r="CI3" s="87" t="s">
        <v>246</v>
      </c>
      <c r="CJ3" s="88" t="s">
        <v>247</v>
      </c>
      <c r="CK3" s="87" t="s">
        <v>248</v>
      </c>
      <c r="CN3" s="15" t="s">
        <v>210</v>
      </c>
      <c r="CO3" s="92" t="s">
        <v>211</v>
      </c>
      <c r="CP3" s="14" t="s">
        <v>271</v>
      </c>
      <c r="CQ3" s="14" t="s">
        <v>200</v>
      </c>
      <c r="CR3" s="93" t="s">
        <v>390</v>
      </c>
      <c r="CT3" t="s">
        <v>1355</v>
      </c>
      <c r="CU3" s="14" t="s">
        <v>50</v>
      </c>
      <c r="CV3" s="14" t="s">
        <v>392</v>
      </c>
      <c r="CW3" s="130" t="s">
        <v>390</v>
      </c>
      <c r="CY3" t="s">
        <v>270</v>
      </c>
      <c r="DA3" s="12" t="s">
        <v>210</v>
      </c>
      <c r="DB3" s="91" t="s">
        <v>211</v>
      </c>
      <c r="DC3" t="s">
        <v>1082</v>
      </c>
      <c r="DF3" s="15" t="s">
        <v>210</v>
      </c>
      <c r="DG3" s="92" t="s">
        <v>211</v>
      </c>
      <c r="DI3" t="s">
        <v>1273</v>
      </c>
      <c r="DJ3" s="12" t="s">
        <v>50</v>
      </c>
      <c r="DK3" s="12" t="s">
        <v>242</v>
      </c>
      <c r="DL3" s="12" t="s">
        <v>412</v>
      </c>
      <c r="DM3" s="12" t="s">
        <v>392</v>
      </c>
      <c r="DN3" s="168" t="s">
        <v>433</v>
      </c>
      <c r="DO3" s="91"/>
      <c r="DP3" s="91" t="s">
        <v>427</v>
      </c>
      <c r="DR3" s="12" t="s">
        <v>50</v>
      </c>
      <c r="DS3" s="12" t="s">
        <v>242</v>
      </c>
      <c r="DT3" s="12" t="s">
        <v>412</v>
      </c>
      <c r="DU3" s="12" t="s">
        <v>392</v>
      </c>
      <c r="DV3" s="77"/>
      <c r="DX3" s="14" t="s">
        <v>444</v>
      </c>
      <c r="DY3" s="14" t="s">
        <v>210</v>
      </c>
      <c r="DZ3" s="14" t="s">
        <v>211</v>
      </c>
      <c r="EC3" s="14" t="s">
        <v>50</v>
      </c>
      <c r="ED3" s="100" t="s">
        <v>242</v>
      </c>
      <c r="EE3" s="14" t="s">
        <v>202</v>
      </c>
      <c r="EF3" s="129" t="s">
        <v>449</v>
      </c>
      <c r="EI3" s="9" t="str">
        <f>AH8</f>
        <v/>
      </c>
      <c r="EJ3" s="9" t="str">
        <f>AH9</f>
        <v/>
      </c>
      <c r="EK3" s="9" t="str">
        <f>AH10</f>
        <v/>
      </c>
      <c r="EL3" s="9" t="str">
        <f>AH11</f>
        <v/>
      </c>
      <c r="EM3" s="9" t="str">
        <f>AH12</f>
        <v/>
      </c>
      <c r="EN3" s="9" t="str">
        <f>AH13</f>
        <v/>
      </c>
      <c r="EO3" s="9" t="str">
        <f>AH14</f>
        <v/>
      </c>
      <c r="EP3" s="9" t="str">
        <f>AH15</f>
        <v/>
      </c>
      <c r="EQ3" s="9" t="str">
        <f>AH16</f>
        <v/>
      </c>
      <c r="ER3" s="9" t="str">
        <f>AH17</f>
        <v/>
      </c>
      <c r="ES3" s="9" t="str">
        <f>AH18</f>
        <v/>
      </c>
      <c r="ET3" s="9" t="str">
        <f>AH19</f>
        <v/>
      </c>
      <c r="EU3" s="9" t="str">
        <f>AH20</f>
        <v/>
      </c>
      <c r="EY3" s="14" t="s">
        <v>210</v>
      </c>
      <c r="EZ3" s="24" t="s">
        <v>211</v>
      </c>
      <c r="FC3" s="14" t="s">
        <v>45</v>
      </c>
      <c r="FD3" s="14" t="s">
        <v>22</v>
      </c>
      <c r="FE3" s="129" t="s">
        <v>519</v>
      </c>
      <c r="FH3" s="110" t="str">
        <f>AI8</f>
        <v/>
      </c>
      <c r="FI3" s="110" t="str">
        <f>AI9</f>
        <v/>
      </c>
      <c r="FJ3" s="110" t="str">
        <f>AI10</f>
        <v/>
      </c>
      <c r="FK3" s="110" t="str">
        <f>AI11</f>
        <v/>
      </c>
      <c r="FL3" s="110" t="str">
        <f>AI12</f>
        <v/>
      </c>
      <c r="FM3" s="110" t="str">
        <f>AI13</f>
        <v/>
      </c>
      <c r="FN3" s="110" t="str">
        <f>AI14</f>
        <v/>
      </c>
      <c r="FO3" s="110" t="str">
        <f>AI15</f>
        <v/>
      </c>
      <c r="FP3" s="110" t="str">
        <f>AI16</f>
        <v/>
      </c>
      <c r="FQ3" s="110" t="str">
        <f>AI17</f>
        <v/>
      </c>
      <c r="FR3" s="110" t="str">
        <f>AI18</f>
        <v/>
      </c>
      <c r="FS3" s="110" t="str">
        <f>AI19</f>
        <v/>
      </c>
      <c r="FT3" s="110" t="str">
        <f>AI20</f>
        <v/>
      </c>
      <c r="FX3" s="33" t="s">
        <v>21</v>
      </c>
      <c r="FY3" s="14" t="s">
        <v>210</v>
      </c>
      <c r="FZ3" s="14" t="s">
        <v>211</v>
      </c>
      <c r="GA3" s="9" t="s">
        <v>1100</v>
      </c>
      <c r="GD3" s="14" t="s">
        <v>552</v>
      </c>
      <c r="GE3" s="12" t="s">
        <v>202</v>
      </c>
      <c r="GF3" s="131" t="s">
        <v>582</v>
      </c>
      <c r="GG3" s="12"/>
      <c r="GI3" s="108" t="s">
        <v>28</v>
      </c>
      <c r="GJ3" s="105" t="s">
        <v>554</v>
      </c>
      <c r="GK3" s="14" t="s">
        <v>211</v>
      </c>
      <c r="GN3" s="91" t="s">
        <v>560</v>
      </c>
      <c r="GO3" s="12" t="s">
        <v>552</v>
      </c>
      <c r="GP3" s="12" t="s">
        <v>392</v>
      </c>
      <c r="GQ3" s="131" t="s">
        <v>581</v>
      </c>
      <c r="GR3" s="12"/>
      <c r="GS3" s="12" t="s">
        <v>1328</v>
      </c>
      <c r="GT3" s="12" t="s">
        <v>28</v>
      </c>
      <c r="GU3" s="14" t="s">
        <v>210</v>
      </c>
      <c r="GV3" s="14" t="s">
        <v>211</v>
      </c>
      <c r="GW3" t="s">
        <v>21</v>
      </c>
      <c r="GY3" s="14" t="s">
        <v>44</v>
      </c>
      <c r="GZ3" s="14" t="s">
        <v>552</v>
      </c>
      <c r="HA3" s="14" t="s">
        <v>202</v>
      </c>
      <c r="HB3" s="134" t="s">
        <v>583</v>
      </c>
      <c r="HC3" s="14"/>
      <c r="HD3" s="14"/>
      <c r="HG3" s="4" t="s">
        <v>569</v>
      </c>
      <c r="HH3" s="4" t="s">
        <v>211</v>
      </c>
      <c r="HK3" s="107" t="s">
        <v>44</v>
      </c>
      <c r="HL3" s="107" t="s">
        <v>202</v>
      </c>
      <c r="HM3" s="129" t="s">
        <v>584</v>
      </c>
      <c r="HO3" t="s">
        <v>20</v>
      </c>
      <c r="HP3" s="9" t="str">
        <f>AH8</f>
        <v/>
      </c>
      <c r="HQ3" s="9" t="str">
        <f>AH9</f>
        <v/>
      </c>
      <c r="HR3" s="9" t="str">
        <f>AH10</f>
        <v/>
      </c>
      <c r="HS3" s="9" t="str">
        <f>AH11</f>
        <v/>
      </c>
      <c r="HT3" s="9" t="str">
        <f>AH12</f>
        <v/>
      </c>
      <c r="HU3" s="9" t="str">
        <f>AH13</f>
        <v/>
      </c>
      <c r="HV3" s="9" t="str">
        <f>AH14</f>
        <v/>
      </c>
      <c r="HW3" s="9" t="str">
        <f>AH15</f>
        <v/>
      </c>
      <c r="HX3" s="9" t="str">
        <f>AH16</f>
        <v/>
      </c>
      <c r="HY3" s="9" t="str">
        <f>AH17</f>
        <v/>
      </c>
      <c r="HZ3" s="9" t="str">
        <f>AH18</f>
        <v/>
      </c>
      <c r="IA3" s="9" t="str">
        <f>AH19</f>
        <v/>
      </c>
      <c r="IB3" s="9" t="str">
        <f>AH20</f>
        <v/>
      </c>
      <c r="ID3" s="9" t="s">
        <v>1281</v>
      </c>
      <c r="IF3" s="9" t="s">
        <v>45</v>
      </c>
      <c r="IG3" s="110" t="str">
        <f>IF($AF$30="SH",CONCATENATE("LBS8",ID3),CONCATENATE("LB8",ID3))</f>
        <v>LB828</v>
      </c>
      <c r="IH3" s="9" t="s">
        <v>594</v>
      </c>
      <c r="II3" s="9" t="s">
        <v>595</v>
      </c>
      <c r="IJ3" s="9" t="s">
        <v>596</v>
      </c>
      <c r="IK3" s="9" t="s">
        <v>597</v>
      </c>
      <c r="IN3" s="9"/>
      <c r="IU3" t="s">
        <v>20</v>
      </c>
      <c r="IV3" t="s">
        <v>5</v>
      </c>
      <c r="IW3" t="s">
        <v>888</v>
      </c>
      <c r="JT3" s="9"/>
      <c r="JU3" s="213"/>
      <c r="KA3" s="9" t="str">
        <f>IF(KA6="","","Drum 1")</f>
        <v/>
      </c>
      <c r="KB3" s="9" t="str">
        <f>IF(KB6="","","Drum 2")</f>
        <v/>
      </c>
      <c r="KC3" s="9" t="str">
        <f>IF(KC6="","","Drum 3")</f>
        <v/>
      </c>
      <c r="KD3" s="9" t="str">
        <f>IF(KD6="","","Drum 4")</f>
        <v/>
      </c>
      <c r="KE3" s="9" t="str">
        <f>IF(KE6="","","Drum 5")</f>
        <v/>
      </c>
      <c r="KF3" s="9" t="str">
        <f>IF(KF6="","","Drum 6")</f>
        <v/>
      </c>
      <c r="KG3" s="9" t="str">
        <f>IF(KG6="","","Drum 7")</f>
        <v/>
      </c>
      <c r="KH3" s="9" t="str">
        <f>IF(KH6="","","Drum 8")</f>
        <v/>
      </c>
      <c r="KI3" s="9" t="str">
        <f>IF(KI6="","","Drum 9")</f>
        <v/>
      </c>
      <c r="KJ3" s="9" t="str">
        <f>IF(KJ6="","","Drum 10")</f>
        <v/>
      </c>
      <c r="KK3" s="9" t="str">
        <f>IF(KK6="","","Drum 11")</f>
        <v/>
      </c>
      <c r="KL3" s="9" t="str">
        <f>IF(KL6="","","Drum 12")</f>
        <v/>
      </c>
      <c r="KM3" s="26" t="str">
        <f>IF(KM6="","","Drum 13")</f>
        <v/>
      </c>
    </row>
    <row r="4" spans="1:299" ht="15" customHeight="1" x14ac:dyDescent="0.3">
      <c r="A4" s="210">
        <f>IF(D4="Invalid Selection",1,0)</f>
        <v>0</v>
      </c>
      <c r="B4" s="35" t="s">
        <v>48</v>
      </c>
      <c r="C4" s="189"/>
      <c r="D4" s="48" t="str">
        <f>IF(C4="","",IF(ISERROR(MATCH(C4,DP4:DP10,0))=TRUE,"Invalid Selection",""))</f>
        <v/>
      </c>
      <c r="F4" s="10"/>
      <c r="G4" s="66"/>
      <c r="H4" s="50"/>
      <c r="AE4" t="s">
        <v>48</v>
      </c>
      <c r="AF4" s="21" t="e">
        <f>INDEX($DM$1:$DM$1000,MATCH($C$4,$DN$1:$DN$1000,0))</f>
        <v>#N/A</v>
      </c>
      <c r="AG4" s="4" t="str">
        <f>IF(C4="","",C4)</f>
        <v/>
      </c>
      <c r="AS4" t="s">
        <v>1246</v>
      </c>
      <c r="AT4" s="9"/>
      <c r="BO4" s="12" t="s">
        <v>15</v>
      </c>
      <c r="BP4" s="12" t="s">
        <v>1</v>
      </c>
      <c r="BS4" s="12" t="s">
        <v>216</v>
      </c>
      <c r="BT4" s="12" t="s">
        <v>15</v>
      </c>
      <c r="BW4" s="9" t="s">
        <v>66</v>
      </c>
      <c r="BX4" s="4" t="s">
        <v>236</v>
      </c>
      <c r="BY4" t="s">
        <v>11</v>
      </c>
      <c r="CB4" s="12" t="s">
        <v>216</v>
      </c>
      <c r="CC4" s="12" t="s">
        <v>66</v>
      </c>
      <c r="CF4" t="s">
        <v>216</v>
      </c>
      <c r="CG4" t="s">
        <v>249</v>
      </c>
      <c r="CH4" t="s">
        <v>249</v>
      </c>
      <c r="CI4" t="s">
        <v>249</v>
      </c>
      <c r="CJ4" t="s">
        <v>250</v>
      </c>
      <c r="CK4" t="s">
        <v>152</v>
      </c>
      <c r="CN4" s="15" t="s">
        <v>272</v>
      </c>
      <c r="CO4" s="92" t="s">
        <v>1358</v>
      </c>
      <c r="CP4" s="14" t="s">
        <v>274</v>
      </c>
      <c r="CQ4" s="14" t="s">
        <v>188</v>
      </c>
      <c r="CR4" s="6" t="str">
        <f t="shared" ref="CR4:CR35" si="0">CONCATENATE(CN4,": ",CO4)</f>
        <v>Z6: I/O Birdseye Maple</v>
      </c>
      <c r="CT4" s="3" t="str">
        <f t="shared" ref="CT4:CT35" si="1">VLOOKUP(CV4,CN$4:CQ$68,3,FALSE)</f>
        <v>Exotic Veneer</v>
      </c>
      <c r="CU4" s="12" t="s">
        <v>15</v>
      </c>
      <c r="CV4" s="13" t="s">
        <v>276</v>
      </c>
      <c r="CW4" s="129" t="str">
        <f t="shared" ref="CW4:CW35" si="2">VLOOKUP(CV4,$CN$4:$CR$68,5,FALSE)</f>
        <v>53: African Bubinga</v>
      </c>
      <c r="CY4" s="126" t="e" cm="1">
        <f t="array" ref="CY4">_xlfn._xlws.FILTER(CW1:CW1004,CU1:CU1004=AE8)</f>
        <v>#N/A</v>
      </c>
      <c r="DA4" s="12" t="s">
        <v>1079</v>
      </c>
      <c r="DB4" s="91" t="s">
        <v>1080</v>
      </c>
      <c r="DC4" s="126" t="e" cm="1">
        <f t="array" ref="DC4">_xlfn._xlws.FILTER(DC13:DC34,(DA13:DA34=AF2)*(DB13:DB34=AF6),"")</f>
        <v>#N/A</v>
      </c>
      <c r="DF4" s="14" t="s">
        <v>394</v>
      </c>
      <c r="DG4" s="24" t="s">
        <v>199</v>
      </c>
      <c r="DJ4" s="12" t="s">
        <v>15</v>
      </c>
      <c r="DK4" s="12" t="s">
        <v>66</v>
      </c>
      <c r="DL4" s="12" t="s">
        <v>413</v>
      </c>
      <c r="DM4" s="14" t="s">
        <v>399</v>
      </c>
      <c r="DN4" s="129" t="s">
        <v>1330</v>
      </c>
      <c r="DP4" s="126" t="e" cm="1">
        <f t="array" ref="DP4">_xlfn._xlws.FILTER(DN1:DN150,(DJ1:DJ150=AE8)*(DK1:DK150="LB")*(DL1:DL150="NBKT"),"")</f>
        <v>#N/A</v>
      </c>
      <c r="DR4" s="12" t="s">
        <v>15</v>
      </c>
      <c r="DS4" s="12" t="s">
        <v>66</v>
      </c>
      <c r="DT4" s="12" t="s">
        <v>413</v>
      </c>
      <c r="DU4" s="12" t="s">
        <v>399</v>
      </c>
      <c r="DV4" s="95"/>
      <c r="DX4" s="14" t="s">
        <v>70</v>
      </c>
      <c r="DY4" s="12" t="s">
        <v>206</v>
      </c>
      <c r="DZ4" s="12" t="s">
        <v>450</v>
      </c>
      <c r="EC4" s="14" t="s">
        <v>15</v>
      </c>
      <c r="ED4" s="12" t="s">
        <v>66</v>
      </c>
      <c r="EE4" s="14" t="s">
        <v>45</v>
      </c>
      <c r="EF4" s="129" t="s">
        <v>490</v>
      </c>
      <c r="EI4" s="126" t="e" cm="1">
        <f t="array" ref="EI4">_xlfn._xlws.FILTER($EF1:$EF1000,($EC1:$EC1000=$AE$8)*($ED1:$ED1000=EI$3),"Type is Required")</f>
        <v>#N/A</v>
      </c>
      <c r="EJ4" s="126" t="e" cm="1">
        <f t="array" ref="EJ4">_xlfn._xlws.FILTER($EF1:$EF1000,($EC1:$EC1000=$AE$8)*($ED1:$ED1000=EJ$3),"Type is required")</f>
        <v>#N/A</v>
      </c>
      <c r="EK4" s="126" t="e" cm="1">
        <f t="array" ref="EK4">_xlfn._xlws.FILTER($EF1:$EF1000,($EC1:$EC1000=$AE$8)*($ED1:$ED1000=EK$3),"Type is required")</f>
        <v>#N/A</v>
      </c>
      <c r="EL4" s="126" t="e" cm="1">
        <f t="array" ref="EL4">_xlfn._xlws.FILTER($EF1:$EF1000,($EC1:$EC1000=$AE$8)*($ED1:$ED1000=EL$3),"Type is required")</f>
        <v>#N/A</v>
      </c>
      <c r="EM4" s="126" t="e" cm="1">
        <f t="array" ref="EM4">_xlfn._xlws.FILTER($EF1:$EF1000,($EC1:$EC1000=$AE$8)*($ED1:$ED1000=EM$3),"Need a type")</f>
        <v>#N/A</v>
      </c>
      <c r="EN4" s="126" t="e" cm="1">
        <f t="array" ref="EN4">_xlfn._xlws.FILTER($EF1:$EF1000,($EC1:$EC1000=$AE$8)*($ED1:$ED1000=EN$3),"Need a type")</f>
        <v>#N/A</v>
      </c>
      <c r="EO4" s="126" t="e" cm="1">
        <f t="array" ref="EO4">_xlfn._xlws.FILTER($EF1:$EF1000,($EC1:$EC1000=$AE$8)*($ED1:$ED1000=EO$3),"Need a type")</f>
        <v>#N/A</v>
      </c>
      <c r="EP4" s="126" t="e" cm="1">
        <f t="array" ref="EP4">_xlfn._xlws.FILTER($EF1:$EF1000,($EC1:$EC1000=$AE$8)*($ED1:$ED1000=EP$3),"Need a type")</f>
        <v>#N/A</v>
      </c>
      <c r="EQ4" s="126" t="e" cm="1">
        <f t="array" ref="EQ4">_xlfn._xlws.FILTER($EF1:$EF1000,($EC1:$EC1000=$AE$8)*($ED1:$ED1000=EQ$3),"Need a type")</f>
        <v>#N/A</v>
      </c>
      <c r="ER4" s="126" t="e" cm="1">
        <f t="array" ref="ER4">_xlfn._xlws.FILTER($EF1:$EF1000,($EC1:$EC1000=$AE$8)*($ED1:$ED1000=ER$3),"Need a type")</f>
        <v>#N/A</v>
      </c>
      <c r="ES4" s="126" t="e" cm="1">
        <f t="array" ref="ES4">_xlfn._xlws.FILTER($EF1:$EF1000,($EC1:$EC1000=$AE$8)*($ED1:$ED1000=ES$3),"Need a type")</f>
        <v>#N/A</v>
      </c>
      <c r="ET4" s="126" t="e" cm="1">
        <f t="array" ref="ET4">_xlfn._xlws.FILTER($EF1:$EF1000,($EC1:$EC1000=$AE$8)*($ED1:$ED1000=ET$3),"Need a type")</f>
        <v>#N/A</v>
      </c>
      <c r="EU4" s="126" t="e" cm="1">
        <f t="array" ref="EU4">_xlfn._xlws.FILTER($EF1:$EF1000,($EC1:$EC1000=$AE$8)*($ED1:$ED1000=EU$3),"Need a type")</f>
        <v>#N/A</v>
      </c>
      <c r="EY4" s="14" t="s">
        <v>26</v>
      </c>
      <c r="EZ4" s="86" t="s">
        <v>515</v>
      </c>
      <c r="FC4" s="103" t="s">
        <v>45</v>
      </c>
      <c r="FD4" s="14" t="s">
        <v>518</v>
      </c>
      <c r="FE4" s="129" t="s">
        <v>1337</v>
      </c>
      <c r="FH4" s="128" t="str" cm="1">
        <f t="array" ref="FH4">_xlfn._xlws.FILTER($FE1:$FE300,($FC1:$FC300=FH3)*($FE$1:$FE$300&lt;&gt;""),"Need a size")</f>
        <v>Need a size</v>
      </c>
      <c r="FI4" s="128" t="str" cm="1">
        <f t="array" ref="FI4">_xlfn._xlws.FILTER($FE1:$FE300,($FC1:$FC300=FI3)*($FE$1:$FE$300&lt;&gt;""),"Need a size")</f>
        <v>Need a size</v>
      </c>
      <c r="FJ4" s="128" t="str" cm="1">
        <f t="array" ref="FJ4">_xlfn._xlws.FILTER($FE1:$FE300,($FC1:$FC300=FJ3)*($FE$1:$FE$300&lt;&gt;""),"Need a size")</f>
        <v>Need a size</v>
      </c>
      <c r="FK4" s="128" t="str" cm="1">
        <f t="array" ref="FK4">_xlfn._xlws.FILTER($FE1:$FE300,($FC1:$FC300=FK3)*($FE$1:$FE$300&lt;&gt;""),"Need a size")</f>
        <v>Need a size</v>
      </c>
      <c r="FL4" s="128" t="str" cm="1">
        <f t="array" ref="FL4">_xlfn._xlws.FILTER($FE1:$FE300,($FC1:$FC300=FL3)*($FE$1:$FE$300&lt;&gt;""),"Need a size")</f>
        <v>Need a size</v>
      </c>
      <c r="FM4" s="128" t="str" cm="1">
        <f t="array" ref="FM4">_xlfn._xlws.FILTER($FE1:$FE300,($FC1:$FC300=FM3)*($FE$1:$FE$300&lt;&gt;""),"Need a size")</f>
        <v>Need a size</v>
      </c>
      <c r="FN4" s="128" t="str" cm="1">
        <f t="array" ref="FN4">_xlfn._xlws.FILTER($FE1:$FE300,($FC1:$FC300=FN3)*($FE$1:$FE$300&lt;&gt;""),"Need a size")</f>
        <v>Need a size</v>
      </c>
      <c r="FO4" s="128" t="str" cm="1">
        <f t="array" ref="FO4">_xlfn._xlws.FILTER($FE1:$FE300,($FC1:$FC300=FO3)*($FE$1:$FE$300&lt;&gt;""),"Need a size")</f>
        <v>Need a size</v>
      </c>
      <c r="FP4" s="128" t="str" cm="1">
        <f t="array" ref="FP4">_xlfn._xlws.FILTER($FE1:$FE300,($FC1:$FC300=FP3)*($FE$1:$FE$300&lt;&gt;""),"Need a size")</f>
        <v>Need a size</v>
      </c>
      <c r="FQ4" s="128" t="str" cm="1">
        <f t="array" ref="FQ4">_xlfn._xlws.FILTER($FE1:$FE300,($FC1:$FC300=FQ3)*($FE$1:$FE$300&lt;&gt;""),"Need a size")</f>
        <v>Need a size</v>
      </c>
      <c r="FR4" s="128" t="str" cm="1">
        <f t="array" ref="FR4">_xlfn._xlws.FILTER($FE1:$FE300,($FC1:$FC300=FR3)*($FE$1:$FE$300&lt;&gt;""),"Need a size")</f>
        <v>Need a size</v>
      </c>
      <c r="FS4" s="128" t="str" cm="1">
        <f t="array" ref="FS4">_xlfn._xlws.FILTER($FE1:$FE300,($FC1:$FC300=FS3)*($FE$1:$FE$300&lt;&gt;""),"Need a size")</f>
        <v>Need a size</v>
      </c>
      <c r="FT4" s="128" t="str" cm="1">
        <f t="array" ref="FT4">_xlfn._xlws.FILTER($FE1:$FE300,($FC1:$FC300=FT3)*($FE$1:$FE$300&lt;&gt;""),"Need a size")</f>
        <v>Need a size</v>
      </c>
      <c r="FX4" s="33"/>
      <c r="FY4" s="9" t="s">
        <v>536</v>
      </c>
      <c r="FZ4" s="4" t="s">
        <v>1901</v>
      </c>
      <c r="GA4" s="9" t="s">
        <v>1099</v>
      </c>
      <c r="GD4" s="14" t="s">
        <v>22</v>
      </c>
      <c r="GE4" s="9" t="s">
        <v>536</v>
      </c>
      <c r="GF4" s="132" t="str">
        <f t="shared" ref="GF4:GF18" si="3">INDEX($FZ$3:$FZ$14,MATCH(GE4,FY$3:FY$14,0))</f>
        <v>Less Mount / Holder</v>
      </c>
      <c r="GG4" s="9"/>
      <c r="GI4" s="62" t="s">
        <v>18</v>
      </c>
      <c r="GJ4" s="12" t="s">
        <v>555</v>
      </c>
      <c r="GK4" s="17" t="s">
        <v>1895</v>
      </c>
      <c r="GN4" s="12" t="s">
        <v>561</v>
      </c>
      <c r="GO4" s="14" t="s">
        <v>518</v>
      </c>
      <c r="GP4" s="12" t="s">
        <v>555</v>
      </c>
      <c r="GQ4" s="133" t="str">
        <f t="shared" ref="GQ4:GQ10" si="4">INDEX($GK$3:$GK$10,MATCH(GP4,$GJ$3:$GJ$10,0))</f>
        <v>Clsc Ludwig Legs 9.5mm</v>
      </c>
      <c r="GR4" s="12"/>
      <c r="GS4" s="9">
        <v>1</v>
      </c>
      <c r="GT4" s="107" t="s">
        <v>47</v>
      </c>
      <c r="GU4" s="12" t="s">
        <v>413</v>
      </c>
      <c r="GV4" s="4" t="s">
        <v>86</v>
      </c>
      <c r="GY4" s="12" t="s">
        <v>144</v>
      </c>
      <c r="GZ4" s="14" t="s">
        <v>518</v>
      </c>
      <c r="HA4" s="12" t="s">
        <v>413</v>
      </c>
      <c r="HB4" s="131" t="str">
        <f t="shared" ref="HB4:HB9" si="5">INDEX($GV$3:$GV$12,MATCH(HA4,$GU$3:$GU$12,0))</f>
        <v>No Mounting Bracket</v>
      </c>
      <c r="HC4" s="12"/>
      <c r="HD4" s="12"/>
      <c r="HG4" s="9" t="s">
        <v>570</v>
      </c>
      <c r="HH4" s="4" t="s">
        <v>571</v>
      </c>
      <c r="HK4" s="62" t="s">
        <v>187</v>
      </c>
      <c r="HL4" s="62" t="s">
        <v>574</v>
      </c>
      <c r="HM4" s="129" t="s">
        <v>575</v>
      </c>
      <c r="HP4" s="124" t="str" cm="1">
        <f t="array" ref="HP4">IF(HP3="LB",_xlfn._xlws.FILTER($GF1:$GF1000,$GD1:$GD1000=AJ8,""),IF(HP3="LT",_xlfn._xlws.FILTER($HB1:$HB1000,($GY1:$GY1000=AI8)*($GZ1:$GZ1000=AJ8),""),IF(HP3="LF",_xlfn._xlws.FILTER($GQ1:$GQ1000,($GN1:$GN1000=AF42)*($GO1:$GO1000=AJ8),""),IF(HP3="LS",_xlfn._xlws.FILTER($HM1:$HM1000,$HK1:$HK1000=AI8,""),"Need Size and Lugs"))))</f>
        <v>Need Size and Lugs</v>
      </c>
      <c r="HQ4" s="125" t="str" cm="1">
        <f t="array" ref="HQ4">IF(HQ3="LB",_xlfn._xlws.FILTER($GF1:$GF1000,$GD1:$GD1000=AJ9,""),IF(HQ3="LT",_xlfn._xlws.FILTER($HB1:$HB1000,($GY1:$GY1000=AI9)*($GZ1:$GZ1000=AJ9),""),IF(HQ3="LF",_xlfn._xlws.FILTER($GQ1:$GQ1000,($GN1:$GN1000=AF42)*($GO1:$GO1000=AJ9),""),IF(HQ3="LS",_xlfn._xlws.FILTER($HM1:$HM1000,$HK1:$HK1000=AI9,""),"Need Size and Lugs"))))</f>
        <v>Need Size and Lugs</v>
      </c>
      <c r="HR4" s="126" t="str" cm="1">
        <f t="array" ref="HR4">IF(HR3="LB",_xlfn._xlws.FILTER($GF1:$GF1000,$GD1:$GD1000=AJ10,""),IF(HR3="LT",_xlfn._xlws.FILTER($HB1:$HB1000,($GY1:$GY1000=AI10)*($GZ1:$GZ1000=AJ10),""),IF(HR3="LF",_xlfn._xlws.FILTER($GQ1:$GQ1000,($GN1:$GN1000=AF42)*($GO1:$GO1000=AJ10),""),IF(HR3="LS",_xlfn._xlws.FILTER($HM1:$HM1000,$HK1:$HK1000=AI10,""),"Need Size and Lugs"))))</f>
        <v>Need Size and Lugs</v>
      </c>
      <c r="HS4" s="126" t="str" cm="1">
        <f t="array" ref="HS4">IF(HS3="LB",_xlfn._xlws.FILTER($GF1:$GF1000,$GD1:$GD1000=AJ11,""),IF(HS3="LT",_xlfn._xlws.FILTER($HB1:$HB1000,($GY1:$GY1000=AI11)*($GZ1:$GZ1000=AJ11),""),IF(HS3="LF",_xlfn._xlws.FILTER($GQ1:$GQ1000,($GN1:$GN1000=AF42)*($GO1:$GO1000=AJ11),""),IF(HS3="LS",_xlfn._xlws.FILTER($HM1:$HM1000,$HK1:$HK1000=AI11,""),"Need Size and Lugs"))))</f>
        <v>Need Size and Lugs</v>
      </c>
      <c r="HT4" s="126" t="str" cm="1">
        <f t="array" ref="HT4">IF(HT3="LB",_xlfn._xlws.FILTER($GF1:$GF1000,$GD1:$GD1000=AJ12,""),IF(HT3="LT",_xlfn._xlws.FILTER($HB1:$HB1000,($GY1:$GY1000=AI12)*($GZ1:$GZ1000=AJ12),""),IF(HT3="LF",_xlfn._xlws.FILTER($GQ1:$GQ1000,($GN1:$GN1000=AF42)*($GO1:$GO1000=AJ12),""),IF(HT3="LS",_xlfn._xlws.FILTER($HM1:$HM1000,$HK1:$HK1000=AI12,""),"Need Size and Lugs"))))</f>
        <v>Need Size and Lugs</v>
      </c>
      <c r="HU4" s="126" t="str" cm="1">
        <f t="array" ref="HU4">IF(HU3="LB",_xlfn._xlws.FILTER($GF1:$GF1000,$GD1:$GD1000=AJ13,""),IF(HU3="LT",_xlfn._xlws.FILTER($HB1:$HB1000,($GY1:$GY1000=AI13)*($GZ1:$GZ1000=AJ13),""),IF(HU3="LF",_xlfn._xlws.FILTER($GQ1:$GQ1000,($GN1:$GN1000=AF42)*($GO1:$GO1000=AJ13),""),IF(HU3="LS",_xlfn._xlws.FILTER($HM1:$HM1000,$HK1:$HK1000=AI13,""),"Need Size and Lugs"))))</f>
        <v>Need Size and Lugs</v>
      </c>
      <c r="HV4" s="126" t="str" cm="1">
        <f t="array" ref="HV4">IF(HV3="LB",_xlfn._xlws.FILTER($GF1:$GF1000,$GD1:$GD1000=AJ14,""),IF(HV3="LT",_xlfn._xlws.FILTER($HB1:$HB1000,($GY1:$GY1000=AI14)*($GZ1:$GZ1000=AJ14),""),IF(HV3="LF",_xlfn._xlws.FILTER($GQ1:$GQ1000,($GN1:$GN1000=AF42)*($GO1:$GO1000=AJ14),""),IF(HV3="LS",_xlfn._xlws.FILTER($HM1:$HM1000,$HK1:$HK1000=AI14,""),"Need Size and Lugs"))))</f>
        <v>Need Size and Lugs</v>
      </c>
      <c r="HW4" s="126" t="str" cm="1">
        <f t="array" ref="HW4">IF(HW3="LB",_xlfn._xlws.FILTER($GF1:$GF1000,$GD1:$GD1000=AJ15,""),IF(HW3="LT",_xlfn._xlws.FILTER($HB1:$HB1000,($GY1:$GY1000=AI15)*($GZ1:$GZ1000=AJ15),""),IF(HW3="LF",_xlfn._xlws.FILTER($GQ1:$GQ1000,($GN1:$GN1000=AF42)*($GO1:$GO1000=AJ15),""),IF(HW3="LS",_xlfn._xlws.FILTER($HM1:$HM1000,$HK1:$HK1000=AI15,""),"Need Size and Lugs"))))</f>
        <v>Need Size and Lugs</v>
      </c>
      <c r="HX4" s="126" t="str" cm="1">
        <f t="array" ref="HX4">IF(HX3="LB",_xlfn._xlws.FILTER($GF1:$GF1000,$GD1:$GD1000=AJ16,""),IF(HX3="LT",_xlfn._xlws.FILTER($HB1:$HB1000,($GY1:$GY1000=AI16)*($GZ1:$GZ1000=AJ16),""),IF(HX3="LF",_xlfn._xlws.FILTER($GQ1:$GQ1000,($GN1:$GN1000=AF42)*($GO1:$GO1000=AJ16),""),IF(HX3="LS",_xlfn._xlws.FILTER($HM1:$HM1000,$HK1:$HK1000=AI16,""),"Need Size and Lugs"))))</f>
        <v>Need Size and Lugs</v>
      </c>
      <c r="HY4" s="126" t="str" cm="1">
        <f t="array" ref="HY4">IF(HY3="LB",_xlfn._xlws.FILTER($GF1:$GF1000,$GD1:$GD1000=AJ17,""),IF(HY3="LT",_xlfn._xlws.FILTER($HB1:$HB1000,($GY1:$GY1000=AI17)*($GZ1:$GZ1000=AJ17),""),IF(HY3="LF",_xlfn._xlws.FILTER($GQ1:$GQ1000,($GN1:$GN1000=AF42)*($GO1:$GO1000=AJ17),""),IF(HY3="LS",_xlfn._xlws.FILTER($HM1:$HM1000,$HK1:$HK1000=AI17,""),"Need Size and Lugs"))))</f>
        <v>Need Size and Lugs</v>
      </c>
      <c r="HZ4" s="126" t="str" cm="1">
        <f t="array" ref="HZ4">IF(HZ3="LB",_xlfn._xlws.FILTER($GF1:$GF1000,$GD1:$GD1000=AJ18,""),IF(HZ3="LT",_xlfn._xlws.FILTER($HB1:$HB1000,($GY1:$GY1000=AI18)*($GZ1:$GZ1000=AJ18),""),IF(HZ3="LF",_xlfn._xlws.FILTER($GQ1:$GQ1000,($GN1:$GN1000=AF42)*($GO1:$GO1000=AJ18),""),IF(HZ3="LS",_xlfn._xlws.FILTER($HM1:$HM1000,$HK1:$HK1000=AI18,""),"Need Size and Lugs"))))</f>
        <v>Need Size and Lugs</v>
      </c>
      <c r="IA4" s="126" t="str" cm="1">
        <f t="array" ref="IA4">IF(IA3="LB",_xlfn._xlws.FILTER($GF1:$GF1000,$GD1:$GD1000=AJ19,""),IF(IA3="LT",_xlfn._xlws.FILTER($HB1:$HB1000,($GY1:$GY1000=AI19)*($GZ1:$GZ1000=AJ19),""),IF(IA3="LF",_xlfn._xlws.FILTER($GQ1:$GQ1000,($GN1:$GN1000=AF42)*($GO1:$GO1000=AJ19),""),IF(IA3="LS",_xlfn._xlws.FILTER($HM1:$HM1000,$HK1:$HK1000=AI19,""),"Need Size and Lugs"))))</f>
        <v>Need Size and Lugs</v>
      </c>
      <c r="IB4" s="126" t="str" cm="1">
        <f t="array" ref="IB4">IF(IB3="LB",_xlfn._xlws.FILTER($GF1:$GF1000,$GD1:$GD1000=AJ20,""),IF(IB3="LT",_xlfn._xlws.FILTER($HB1:$HB1000,($GY1:$GY1000=AI20)*($GZ1:$GZ1000=AJ20),""),IF(IB3="LF",_xlfn._xlws.FILTER($GQ1:$GQ1000,($GN1:$GN1000=AF42)*($GO1:$GO1000=AJ20),""),IF(IB3="LS",_xlfn._xlws.FILTER($HM1:$HM1000,$HK1:$HK1000=AI20,""),"Need Size and Lugs"))))</f>
        <v>Need Size and Lugs</v>
      </c>
      <c r="ID4" s="9" t="s">
        <v>1282</v>
      </c>
      <c r="IF4" s="9" t="s">
        <v>49</v>
      </c>
      <c r="IG4" s="110" t="str">
        <f>IF($AF$30="SH",CONCATENATE("LBS8",ID4),CONCATENATE("LB8",ID4))</f>
        <v>LB848</v>
      </c>
      <c r="IH4" s="9" t="s">
        <v>598</v>
      </c>
      <c r="II4" s="9" t="s">
        <v>599</v>
      </c>
      <c r="IJ4" s="9" t="s">
        <v>600</v>
      </c>
      <c r="IK4" s="9" t="s">
        <v>601</v>
      </c>
      <c r="IN4" s="9" t="s">
        <v>20</v>
      </c>
      <c r="IO4" s="9" t="s">
        <v>876</v>
      </c>
      <c r="IP4" t="s">
        <v>855</v>
      </c>
      <c r="IQ4" s="110" t="s">
        <v>28</v>
      </c>
      <c r="IU4" t="s">
        <v>66</v>
      </c>
      <c r="IV4" t="s">
        <v>518</v>
      </c>
      <c r="IW4" t="s">
        <v>889</v>
      </c>
      <c r="JA4" s="14"/>
      <c r="JT4" s="9"/>
      <c r="JU4" s="213"/>
      <c r="JY4" s="11"/>
      <c r="JZ4" s="10"/>
      <c r="KA4" s="222" t="str">
        <f>$H$8</f>
        <v/>
      </c>
      <c r="KB4" s="222" t="str">
        <f>$H$9</f>
        <v/>
      </c>
      <c r="KC4" s="222" t="str">
        <f>$H$10</f>
        <v/>
      </c>
      <c r="KD4" s="222" t="str">
        <f>$H$11</f>
        <v/>
      </c>
      <c r="KE4" s="222" t="str">
        <f>$H$12</f>
        <v/>
      </c>
      <c r="KF4" s="222" t="str">
        <f>$H$13</f>
        <v/>
      </c>
      <c r="KG4" s="222" t="str">
        <f>$H$14</f>
        <v/>
      </c>
      <c r="KH4" s="222" t="str">
        <f>$H$15</f>
        <v/>
      </c>
      <c r="KI4" s="222" t="str">
        <f>$H$16</f>
        <v/>
      </c>
      <c r="KJ4" s="222" t="str">
        <f>$H$17</f>
        <v/>
      </c>
      <c r="KK4" s="222" t="str">
        <f>$H$18</f>
        <v/>
      </c>
      <c r="KL4" s="222" t="str">
        <f>$H$19</f>
        <v/>
      </c>
      <c r="KM4" s="222" t="str">
        <f>$H$20</f>
        <v/>
      </c>
    </row>
    <row r="5" spans="1:299" x14ac:dyDescent="0.3">
      <c r="A5" s="210">
        <f>IF(D5="Invalid Selection",1,0)</f>
        <v>0</v>
      </c>
      <c r="B5" s="208" t="str">
        <f>IFERROR(IF(AND(AF2&lt;&gt;"LO",AF6&lt;&gt;"IOV"),"Interior",""),"")</f>
        <v/>
      </c>
      <c r="C5" s="123"/>
      <c r="D5" s="48" t="str">
        <f>IF(C5="","",IF(ISERROR(MATCH(C5,DC4:DC5,0))=TRUE,"Invalid Selection",""))</f>
        <v/>
      </c>
      <c r="F5" s="9"/>
      <c r="G5" s="66"/>
      <c r="H5" s="3"/>
      <c r="AE5" t="s">
        <v>942</v>
      </c>
      <c r="AF5" s="21" t="str">
        <f>IFERROR(INDEX(DA3:DA5,MATCH(AG5,DB3:DB5,0)),"C")</f>
        <v>C</v>
      </c>
      <c r="AG5" s="4" t="e">
        <f>IF(OR(AF2="LO",AF6="IOV",C5=""), "Clear Lacquer",C5)</f>
        <v>#N/A</v>
      </c>
      <c r="AS5" t="s">
        <v>1248</v>
      </c>
      <c r="AT5" s="9"/>
      <c r="BF5" t="s">
        <v>1232</v>
      </c>
      <c r="BG5" s="9" t="s">
        <v>1157</v>
      </c>
      <c r="BH5" s="9" t="s">
        <v>1161</v>
      </c>
      <c r="BI5" t="s">
        <v>1309</v>
      </c>
      <c r="BO5" s="12" t="s">
        <v>16</v>
      </c>
      <c r="BP5" s="12" t="s">
        <v>212</v>
      </c>
      <c r="BS5" s="12" t="s">
        <v>217</v>
      </c>
      <c r="BT5" s="12" t="s">
        <v>15</v>
      </c>
      <c r="BW5" s="9" t="s">
        <v>73</v>
      </c>
      <c r="BX5" s="4" t="s">
        <v>237</v>
      </c>
      <c r="BY5" t="s">
        <v>12</v>
      </c>
      <c r="CB5" s="12" t="s">
        <v>217</v>
      </c>
      <c r="CC5" s="12" t="s">
        <v>73</v>
      </c>
      <c r="CF5" t="s">
        <v>217</v>
      </c>
      <c r="CG5" t="s">
        <v>251</v>
      </c>
      <c r="CH5" t="s">
        <v>251</v>
      </c>
      <c r="CI5" t="s">
        <v>251</v>
      </c>
      <c r="CJ5" t="s">
        <v>250</v>
      </c>
      <c r="CK5" t="s">
        <v>164</v>
      </c>
      <c r="CN5" s="15" t="s">
        <v>275</v>
      </c>
      <c r="CO5" s="92" t="s">
        <v>1357</v>
      </c>
      <c r="CP5" s="14" t="s">
        <v>274</v>
      </c>
      <c r="CQ5" s="14" t="s">
        <v>188</v>
      </c>
      <c r="CR5" s="6" t="str">
        <f t="shared" si="0"/>
        <v>Z4: I/O Bubinga Gloss</v>
      </c>
      <c r="CT5" s="3" t="str">
        <f t="shared" si="1"/>
        <v>Exotic Veneer</v>
      </c>
      <c r="CU5" s="12" t="s">
        <v>18</v>
      </c>
      <c r="CV5" s="13" t="s">
        <v>276</v>
      </c>
      <c r="CW5" s="129" t="str">
        <f t="shared" si="2"/>
        <v>53: African Bubinga</v>
      </c>
      <c r="DA5" s="12" t="s">
        <v>43</v>
      </c>
      <c r="DB5" s="91" t="s">
        <v>1344</v>
      </c>
      <c r="DF5" s="14" t="s">
        <v>397</v>
      </c>
      <c r="DG5" s="24" t="s">
        <v>430</v>
      </c>
      <c r="DJ5" s="12" t="s">
        <v>15</v>
      </c>
      <c r="DK5" s="12" t="s">
        <v>66</v>
      </c>
      <c r="DL5" s="12" t="s">
        <v>413</v>
      </c>
      <c r="DM5" s="14" t="s">
        <v>394</v>
      </c>
      <c r="DN5" s="129" t="s">
        <v>199</v>
      </c>
      <c r="DR5" s="12" t="s">
        <v>16</v>
      </c>
      <c r="DS5" s="12" t="s">
        <v>66</v>
      </c>
      <c r="DT5" s="12" t="s">
        <v>413</v>
      </c>
      <c r="DU5" s="12" t="s">
        <v>397</v>
      </c>
      <c r="DV5" s="95"/>
      <c r="DX5" s="14" t="s">
        <v>70</v>
      </c>
      <c r="DY5" s="14" t="s">
        <v>132</v>
      </c>
      <c r="DZ5" s="14" t="s">
        <v>451</v>
      </c>
      <c r="EC5" s="14" t="s">
        <v>15</v>
      </c>
      <c r="ED5" s="12" t="s">
        <v>66</v>
      </c>
      <c r="EE5" s="12" t="s">
        <v>49</v>
      </c>
      <c r="EF5" s="129" t="s">
        <v>491</v>
      </c>
      <c r="EY5" s="14" t="s">
        <v>24</v>
      </c>
      <c r="EZ5" s="24" t="s">
        <v>516</v>
      </c>
      <c r="FC5" s="14" t="s">
        <v>45</v>
      </c>
      <c r="FD5" s="14" t="s">
        <v>16</v>
      </c>
      <c r="FE5" s="129" t="s">
        <v>1338</v>
      </c>
      <c r="FX5" s="33"/>
      <c r="FY5" s="9" t="s">
        <v>537</v>
      </c>
      <c r="FZ5" s="4" t="s">
        <v>1887</v>
      </c>
      <c r="GA5" s="9" t="s">
        <v>1099</v>
      </c>
      <c r="GD5" s="14" t="s">
        <v>22</v>
      </c>
      <c r="GE5" s="12" t="s">
        <v>537</v>
      </c>
      <c r="GF5" s="132" t="str">
        <f t="shared" si="3"/>
        <v>Ludwig 'Diamond' Bracket</v>
      </c>
      <c r="GG5" s="12"/>
      <c r="GI5" s="62" t="s">
        <v>47</v>
      </c>
      <c r="GJ5" s="12" t="s">
        <v>556</v>
      </c>
      <c r="GK5" s="17" t="s">
        <v>557</v>
      </c>
      <c r="GN5" s="12" t="s">
        <v>561</v>
      </c>
      <c r="GO5" s="14" t="s">
        <v>518</v>
      </c>
      <c r="GP5" s="12" t="s">
        <v>556</v>
      </c>
      <c r="GQ5" s="133" t="str">
        <f t="shared" si="4"/>
        <v>No Legs or Drilling</v>
      </c>
      <c r="GR5" s="12"/>
      <c r="GS5" s="9">
        <v>1</v>
      </c>
      <c r="GT5" s="107" t="s">
        <v>94</v>
      </c>
      <c r="GU5" s="12" t="s">
        <v>425</v>
      </c>
      <c r="GV5" s="4" t="s">
        <v>1896</v>
      </c>
      <c r="GW5" t="s">
        <v>1315</v>
      </c>
      <c r="GY5" s="12" t="s">
        <v>144</v>
      </c>
      <c r="GZ5" s="14" t="s">
        <v>518</v>
      </c>
      <c r="HA5" s="12" t="s">
        <v>419</v>
      </c>
      <c r="HB5" s="131" t="str">
        <f t="shared" si="5"/>
        <v>Ludwig Classic 9.5mm</v>
      </c>
      <c r="HC5" s="12"/>
      <c r="HD5" s="12"/>
      <c r="HG5" s="9" t="s">
        <v>572</v>
      </c>
      <c r="HH5" s="4" t="s">
        <v>573</v>
      </c>
      <c r="HK5" s="62" t="s">
        <v>524</v>
      </c>
      <c r="HL5" s="62" t="s">
        <v>574</v>
      </c>
      <c r="HM5" s="129" t="s">
        <v>575</v>
      </c>
      <c r="HP5" s="9"/>
      <c r="ID5" s="9" t="s">
        <v>927</v>
      </c>
      <c r="IF5" s="9" t="s">
        <v>51</v>
      </c>
      <c r="IG5" s="110" t="str">
        <f>IF($AF$30="SH",CONCATENATE("LBS8",ID5),CONCATENATE("LB8",ID5))</f>
        <v>LB868</v>
      </c>
      <c r="IH5" s="9" t="s">
        <v>602</v>
      </c>
      <c r="II5" s="9" t="s">
        <v>603</v>
      </c>
      <c r="IJ5" s="9" t="s">
        <v>604</v>
      </c>
      <c r="IK5" s="9" t="s">
        <v>605</v>
      </c>
      <c r="IN5" s="9" t="s">
        <v>66</v>
      </c>
      <c r="IO5" s="9" t="s">
        <v>536</v>
      </c>
      <c r="IP5" t="s">
        <v>46</v>
      </c>
      <c r="IQ5" s="108" t="s">
        <v>47</v>
      </c>
      <c r="IU5" t="s">
        <v>66</v>
      </c>
      <c r="IV5" t="s">
        <v>16</v>
      </c>
      <c r="IW5" t="s">
        <v>890</v>
      </c>
      <c r="JT5" s="9"/>
      <c r="JU5" s="213"/>
      <c r="JY5" s="11"/>
      <c r="JZ5" s="10" t="s">
        <v>53</v>
      </c>
      <c r="KA5" s="216" t="str">
        <f>IF(KA6="","",$A$8)</f>
        <v/>
      </c>
      <c r="KB5" s="216" t="str">
        <f>IF(KB6="","",$A$9)</f>
        <v/>
      </c>
      <c r="KC5" s="216" t="str">
        <f>IF(KC6="","",$A$10)</f>
        <v/>
      </c>
      <c r="KD5" s="216" t="str">
        <f>IF(KD6="","",$A$11)</f>
        <v/>
      </c>
      <c r="KE5" s="216" t="str">
        <f>IF(KE6="","",$A$12)</f>
        <v/>
      </c>
      <c r="KF5" s="9" t="str">
        <f>IF(KF6="","",$A$13)</f>
        <v/>
      </c>
      <c r="KG5" s="9" t="str">
        <f>IF(KG6="","",$A$14)</f>
        <v/>
      </c>
      <c r="KH5" s="9" t="str">
        <f>IF(KH6="","",$A$15)</f>
        <v/>
      </c>
      <c r="KI5" s="9" t="str">
        <f>IF(KI6="","",$A$16)</f>
        <v/>
      </c>
      <c r="KJ5" s="9" t="str">
        <f>IF(KJ6="","",$A$17)</f>
        <v/>
      </c>
      <c r="KK5" s="9" t="str">
        <f>IF(KK6="","",$A$18)</f>
        <v/>
      </c>
      <c r="KL5" s="9" t="str">
        <f>IF(KL6="","",$A$19)</f>
        <v/>
      </c>
      <c r="KM5" s="26" t="str">
        <f>IF(KM6="","",$A$20)</f>
        <v/>
      </c>
    </row>
    <row r="6" spans="1:299" x14ac:dyDescent="0.3">
      <c r="A6" s="210">
        <f>IF(G6&lt;&gt;"",1,0)</f>
        <v>0</v>
      </c>
      <c r="C6" s="7"/>
      <c r="D6" s="8"/>
      <c r="G6" s="198" t="str">
        <f>AV25</f>
        <v/>
      </c>
      <c r="J6" s="31"/>
      <c r="AE6" t="s">
        <v>944</v>
      </c>
      <c r="AF6" s="157" t="e">
        <f>INDEX($CQ$1:$CQ$995,MATCH(AF3,$CN$1:$CN$995,0))</f>
        <v>#N/A</v>
      </c>
      <c r="AG6" s="4"/>
      <c r="AL6" s="9">
        <f>SUM(AL8:AL20)</f>
        <v>0</v>
      </c>
      <c r="AM6" s="9">
        <f>SUM(AM8:AM20)</f>
        <v>0</v>
      </c>
      <c r="AN6" s="9">
        <f>SUM(AN8:AN20)</f>
        <v>0</v>
      </c>
      <c r="AR6" s="9"/>
      <c r="AS6" t="s">
        <v>1247</v>
      </c>
      <c r="AT6" s="9"/>
      <c r="AV6" s="9" t="s">
        <v>526</v>
      </c>
      <c r="AW6" s="9" t="s">
        <v>526</v>
      </c>
      <c r="AX6" s="9" t="s">
        <v>1319</v>
      </c>
      <c r="AY6" s="9" t="s">
        <v>1323</v>
      </c>
      <c r="AZ6" s="9" t="s">
        <v>1322</v>
      </c>
      <c r="BF6" t="s">
        <v>1159</v>
      </c>
      <c r="BG6" s="9" t="s">
        <v>1158</v>
      </c>
      <c r="BH6" s="9" t="s">
        <v>1162</v>
      </c>
      <c r="BI6" t="s">
        <v>1310</v>
      </c>
      <c r="BO6" s="12" t="s">
        <v>17</v>
      </c>
      <c r="BP6" s="12" t="s">
        <v>2</v>
      </c>
      <c r="BS6" s="12" t="s">
        <v>218</v>
      </c>
      <c r="BT6" s="12" t="s">
        <v>15</v>
      </c>
      <c r="BW6" s="9" t="s">
        <v>24</v>
      </c>
      <c r="BX6" s="4" t="s">
        <v>238</v>
      </c>
      <c r="BY6" t="s">
        <v>13</v>
      </c>
      <c r="CB6" s="12" t="s">
        <v>218</v>
      </c>
      <c r="CC6" s="12" t="s">
        <v>24</v>
      </c>
      <c r="CF6" t="s">
        <v>218</v>
      </c>
      <c r="CG6" t="s">
        <v>252</v>
      </c>
      <c r="CH6" t="s">
        <v>252</v>
      </c>
      <c r="CI6" t="s">
        <v>252</v>
      </c>
      <c r="CJ6" t="s">
        <v>250</v>
      </c>
      <c r="CK6" t="s">
        <v>158</v>
      </c>
      <c r="CN6" s="15" t="s">
        <v>276</v>
      </c>
      <c r="CO6" s="92" t="s">
        <v>277</v>
      </c>
      <c r="CP6" s="14" t="s">
        <v>278</v>
      </c>
      <c r="CQ6" s="14" t="s">
        <v>177</v>
      </c>
      <c r="CR6" s="6" t="str">
        <f t="shared" si="0"/>
        <v>53: African Bubinga</v>
      </c>
      <c r="CT6" s="3" t="str">
        <f t="shared" si="1"/>
        <v>Wrap</v>
      </c>
      <c r="CU6" s="12" t="s">
        <v>15</v>
      </c>
      <c r="CV6" s="13" t="s">
        <v>330</v>
      </c>
      <c r="CW6" s="129" t="str">
        <f t="shared" si="2"/>
        <v>AO: Aged Onyx</v>
      </c>
      <c r="DF6" s="14" t="s">
        <v>399</v>
      </c>
      <c r="DG6" s="17" t="s">
        <v>400</v>
      </c>
      <c r="DJ6" s="12" t="s">
        <v>15</v>
      </c>
      <c r="DK6" s="12" t="s">
        <v>66</v>
      </c>
      <c r="DL6" s="12" t="s">
        <v>413</v>
      </c>
      <c r="DM6" s="14" t="s">
        <v>414</v>
      </c>
      <c r="DN6" s="129" t="s">
        <v>1272</v>
      </c>
      <c r="DR6" s="12" t="s">
        <v>18</v>
      </c>
      <c r="DS6" s="12" t="s">
        <v>66</v>
      </c>
      <c r="DT6" s="12" t="s">
        <v>413</v>
      </c>
      <c r="DU6" s="12" t="s">
        <v>397</v>
      </c>
      <c r="DV6" s="95"/>
      <c r="DX6" s="14" t="s">
        <v>70</v>
      </c>
      <c r="DY6" s="12" t="s">
        <v>133</v>
      </c>
      <c r="DZ6" s="12" t="s">
        <v>452</v>
      </c>
      <c r="EC6" s="14" t="s">
        <v>15</v>
      </c>
      <c r="ED6" s="12" t="s">
        <v>66</v>
      </c>
      <c r="EE6" s="12" t="s">
        <v>51</v>
      </c>
      <c r="EF6" s="129" t="s">
        <v>492</v>
      </c>
      <c r="EY6" s="14" t="s">
        <v>27</v>
      </c>
      <c r="EZ6" s="24" t="s">
        <v>517</v>
      </c>
      <c r="FC6" s="14" t="s">
        <v>54</v>
      </c>
      <c r="FD6" s="14" t="s">
        <v>22</v>
      </c>
      <c r="FE6" s="129" t="s">
        <v>519</v>
      </c>
      <c r="FX6" s="33" t="s">
        <v>1314</v>
      </c>
      <c r="FY6" s="9" t="s">
        <v>539</v>
      </c>
      <c r="FZ6" s="4" t="s">
        <v>1888</v>
      </c>
      <c r="GA6" s="9" t="s">
        <v>1099</v>
      </c>
      <c r="GD6" s="14" t="s">
        <v>22</v>
      </c>
      <c r="GE6" s="9" t="s">
        <v>539</v>
      </c>
      <c r="GF6" s="132" t="str">
        <f t="shared" si="3"/>
        <v>Rocker Single 9.5mm</v>
      </c>
      <c r="GG6" s="9"/>
      <c r="GI6" s="62" t="s">
        <v>78</v>
      </c>
      <c r="GJ6" s="12" t="s">
        <v>425</v>
      </c>
      <c r="GK6" s="17" t="s">
        <v>1893</v>
      </c>
      <c r="GN6" s="12" t="s">
        <v>561</v>
      </c>
      <c r="GO6" s="14" t="s">
        <v>518</v>
      </c>
      <c r="GP6" s="12" t="s">
        <v>558</v>
      </c>
      <c r="GQ6" s="133" t="str">
        <f t="shared" si="4"/>
        <v>Triad Brkts/Legs 12mm</v>
      </c>
      <c r="GR6" s="12"/>
      <c r="GS6" s="9">
        <v>2</v>
      </c>
      <c r="GT6" s="107" t="s">
        <v>17</v>
      </c>
      <c r="GU6" s="12" t="s">
        <v>419</v>
      </c>
      <c r="GV6" s="4" t="s">
        <v>1897</v>
      </c>
      <c r="GW6" t="s">
        <v>1314</v>
      </c>
      <c r="GY6" s="12" t="s">
        <v>144</v>
      </c>
      <c r="GZ6" s="14" t="s">
        <v>518</v>
      </c>
      <c r="HA6" s="12" t="s">
        <v>417</v>
      </c>
      <c r="HB6" s="131" t="str">
        <f t="shared" si="5"/>
        <v>Vibraband w/Ludwig 9.5mm</v>
      </c>
      <c r="HC6" s="12"/>
      <c r="HD6" s="12"/>
      <c r="HG6" s="9" t="s">
        <v>574</v>
      </c>
      <c r="HH6" s="4" t="s">
        <v>575</v>
      </c>
      <c r="HK6" s="62" t="s">
        <v>191</v>
      </c>
      <c r="HL6" s="62" t="s">
        <v>570</v>
      </c>
      <c r="HM6" s="129" t="s">
        <v>571</v>
      </c>
      <c r="HP6" s="9"/>
      <c r="ID6" s="9" t="s">
        <v>1283</v>
      </c>
      <c r="IF6" s="9" t="s">
        <v>54</v>
      </c>
      <c r="IG6" s="110" t="str">
        <f>IF($AF$30="SH",CONCATENATE("LBS8",ID6),CONCATENATE("LB8",ID6))</f>
        <v>LB820</v>
      </c>
      <c r="IH6" s="9" t="s">
        <v>606</v>
      </c>
      <c r="II6" s="9" t="s">
        <v>607</v>
      </c>
      <c r="IJ6" s="9" t="s">
        <v>608</v>
      </c>
      <c r="IK6" s="9" t="s">
        <v>609</v>
      </c>
      <c r="IN6" s="9" t="s">
        <v>66</v>
      </c>
      <c r="IO6" s="9" t="s">
        <v>537</v>
      </c>
      <c r="IP6" t="s">
        <v>870</v>
      </c>
      <c r="IQ6" s="108" t="s">
        <v>18</v>
      </c>
      <c r="IU6" t="s">
        <v>66</v>
      </c>
      <c r="IV6" t="s">
        <v>24</v>
      </c>
      <c r="IW6" t="s">
        <v>891</v>
      </c>
      <c r="JT6" s="9"/>
      <c r="JU6" s="213"/>
      <c r="JV6" s="144">
        <f>IF(SUM(KA34:KM34)&lt;3,3,SUM(KA34:KM34))</f>
        <v>3</v>
      </c>
      <c r="JY6" s="11"/>
      <c r="JZ6" s="10" t="s">
        <v>215</v>
      </c>
      <c r="KA6" s="215" t="str">
        <f>IFERROR($Z$8,"")</f>
        <v/>
      </c>
      <c r="KB6" s="215" t="str">
        <f>IFERROR($Z$9,"")</f>
        <v/>
      </c>
      <c r="KC6" s="215" t="str">
        <f>IFERROR($Z$10,"")</f>
        <v/>
      </c>
      <c r="KD6" s="215" t="str">
        <f>IFERROR($Z$11,"")</f>
        <v/>
      </c>
      <c r="KE6" s="215" t="str">
        <f>IFERROR($Z$12,"")</f>
        <v/>
      </c>
      <c r="KF6" s="215" t="str">
        <f>IFERROR($Z$13,"")</f>
        <v/>
      </c>
      <c r="KG6" s="215" t="str">
        <f>IFERROR($Z$14,"")</f>
        <v/>
      </c>
      <c r="KH6" s="215" t="str">
        <f>IFERROR($Z$15,"")</f>
        <v/>
      </c>
      <c r="KI6" s="215" t="str">
        <f>IFERROR($Z$16,"")</f>
        <v/>
      </c>
      <c r="KJ6" s="215" t="str">
        <f>IFERROR($Z$17,"")</f>
        <v/>
      </c>
      <c r="KK6" s="215" t="str">
        <f>IFERROR($Z$18,"")</f>
        <v/>
      </c>
      <c r="KL6" s="215" t="str">
        <f>IFERROR($Z$19,"")</f>
        <v/>
      </c>
      <c r="KM6" s="239" t="str">
        <f>IFERROR($Z$20,"")</f>
        <v/>
      </c>
    </row>
    <row r="7" spans="1:299" ht="15.6" x14ac:dyDescent="0.3">
      <c r="A7" s="9" t="s">
        <v>53</v>
      </c>
      <c r="B7" s="21" t="s">
        <v>20</v>
      </c>
      <c r="C7" s="65" t="str">
        <f>IF(SUM(AL8:AL20)=0,"Size","Size   (INVALID SELECTION)")</f>
        <v>Size</v>
      </c>
      <c r="D7" s="31"/>
      <c r="E7" s="35" t="str">
        <f>IF(SUM(AM8:AM20)=0,"Lugs","Lugs  (INVALID SELECTION)")</f>
        <v>Lugs</v>
      </c>
      <c r="F7" s="31"/>
      <c r="G7" s="35" t="str">
        <f>IF(SUM(AN8:AN20)=0,"Mounts", "Mounts (INVALID SELECTION)")</f>
        <v>Mounts</v>
      </c>
      <c r="H7" s="2" t="s">
        <v>57</v>
      </c>
      <c r="I7" s="31"/>
      <c r="J7" s="31"/>
      <c r="L7" s="31"/>
      <c r="M7" s="31"/>
      <c r="Z7" t="s">
        <v>1229</v>
      </c>
      <c r="AA7" t="s">
        <v>1262</v>
      </c>
      <c r="AB7" s="110" t="str">
        <f>CONCATENATE("Cstm ",L1)</f>
        <v>Cstm Retail</v>
      </c>
      <c r="AC7" t="s">
        <v>1263</v>
      </c>
      <c r="AE7" s="9" t="s">
        <v>9</v>
      </c>
      <c r="AF7" s="9" t="s">
        <v>41</v>
      </c>
      <c r="AG7" s="9" t="s">
        <v>48</v>
      </c>
      <c r="AH7" s="9" t="s">
        <v>20</v>
      </c>
      <c r="AI7" s="9" t="s">
        <v>21</v>
      </c>
      <c r="AJ7" s="9" t="s">
        <v>5</v>
      </c>
      <c r="AK7" s="9" t="s">
        <v>6</v>
      </c>
      <c r="AL7" s="9" t="s">
        <v>1166</v>
      </c>
      <c r="AM7" s="9" t="s">
        <v>1238</v>
      </c>
      <c r="AN7" s="9" t="s">
        <v>1239</v>
      </c>
      <c r="AO7" s="9" t="s">
        <v>1133</v>
      </c>
      <c r="AP7" s="9" t="s">
        <v>854</v>
      </c>
      <c r="AQ7" s="9" t="s">
        <v>884</v>
      </c>
      <c r="AR7" s="9" t="s">
        <v>888</v>
      </c>
      <c r="AS7" s="9" t="s">
        <v>1242</v>
      </c>
      <c r="AT7" s="9" t="s">
        <v>1255</v>
      </c>
      <c r="AU7" s="9" t="s">
        <v>1279</v>
      </c>
      <c r="AV7" s="9" t="s">
        <v>1311</v>
      </c>
      <c r="AW7" s="9" t="s">
        <v>1312</v>
      </c>
      <c r="AX7" s="9" t="s">
        <v>1320</v>
      </c>
      <c r="AY7" s="9" t="s">
        <v>1318</v>
      </c>
      <c r="AZ7" s="9" t="s">
        <v>1321</v>
      </c>
      <c r="BA7" s="9" t="s">
        <v>585</v>
      </c>
      <c r="BB7" s="9" t="s">
        <v>1329</v>
      </c>
      <c r="BC7" s="9"/>
      <c r="BD7" s="9"/>
      <c r="BE7" s="9" t="s">
        <v>92</v>
      </c>
      <c r="BF7" s="9" t="s">
        <v>1132</v>
      </c>
      <c r="BG7" s="9" t="s">
        <v>1156</v>
      </c>
      <c r="BH7" s="9" t="s">
        <v>197</v>
      </c>
      <c r="BI7" s="9" t="s">
        <v>523</v>
      </c>
      <c r="BJ7" s="9" t="s">
        <v>1390</v>
      </c>
      <c r="BK7" s="9" t="s">
        <v>1389</v>
      </c>
      <c r="BL7" s="9" t="s">
        <v>1882</v>
      </c>
      <c r="BM7" s="9"/>
      <c r="BO7" s="12" t="s">
        <v>18</v>
      </c>
      <c r="BP7" s="12" t="s">
        <v>3</v>
      </c>
      <c r="BS7" s="12" t="s">
        <v>219</v>
      </c>
      <c r="BT7" s="12" t="s">
        <v>15</v>
      </c>
      <c r="BW7" s="9" t="s">
        <v>52</v>
      </c>
      <c r="BX7" s="4" t="s">
        <v>239</v>
      </c>
      <c r="BY7" t="s">
        <v>14</v>
      </c>
      <c r="CB7" s="12" t="s">
        <v>219</v>
      </c>
      <c r="CC7" s="12" t="s">
        <v>52</v>
      </c>
      <c r="CF7" t="s">
        <v>219</v>
      </c>
      <c r="CG7" t="s">
        <v>253</v>
      </c>
      <c r="CH7" t="s">
        <v>253</v>
      </c>
      <c r="CI7" t="s">
        <v>253</v>
      </c>
      <c r="CJ7" t="s">
        <v>250</v>
      </c>
      <c r="CK7" t="s">
        <v>170</v>
      </c>
      <c r="CN7" s="15" t="s">
        <v>279</v>
      </c>
      <c r="CO7" s="92" t="s">
        <v>273</v>
      </c>
      <c r="CP7" s="14" t="s">
        <v>278</v>
      </c>
      <c r="CQ7" s="14" t="s">
        <v>177</v>
      </c>
      <c r="CR7" s="6" t="str">
        <f t="shared" si="0"/>
        <v>50: Birdseye Maple</v>
      </c>
      <c r="CT7" s="3" t="str">
        <f t="shared" si="1"/>
        <v>Wrap</v>
      </c>
      <c r="CU7" s="12" t="s">
        <v>16</v>
      </c>
      <c r="CV7" s="13" t="s">
        <v>330</v>
      </c>
      <c r="CW7" s="129" t="str">
        <f t="shared" si="2"/>
        <v>AO: Aged Onyx</v>
      </c>
      <c r="DA7" s="12" t="s">
        <v>1081</v>
      </c>
      <c r="DB7" s="91" t="s">
        <v>1080</v>
      </c>
      <c r="DF7" s="14" t="s">
        <v>403</v>
      </c>
      <c r="DG7" s="17" t="s">
        <v>4</v>
      </c>
      <c r="DJ7" s="12" t="s">
        <v>15</v>
      </c>
      <c r="DK7" s="12" t="s">
        <v>73</v>
      </c>
      <c r="DL7" s="12" t="s">
        <v>413</v>
      </c>
      <c r="DM7" s="14" t="s">
        <v>399</v>
      </c>
      <c r="DN7" s="129" t="s">
        <v>1330</v>
      </c>
      <c r="DR7" s="12" t="s">
        <v>15</v>
      </c>
      <c r="DS7" s="12" t="s">
        <v>73</v>
      </c>
      <c r="DT7" s="12" t="s">
        <v>413</v>
      </c>
      <c r="DU7" s="12" t="s">
        <v>399</v>
      </c>
      <c r="DV7" s="95"/>
      <c r="DX7" s="14" t="s">
        <v>70</v>
      </c>
      <c r="DY7" s="12" t="s">
        <v>207</v>
      </c>
      <c r="DZ7" s="12" t="s">
        <v>437</v>
      </c>
      <c r="EC7" s="14" t="s">
        <v>15</v>
      </c>
      <c r="ED7" s="12" t="s">
        <v>66</v>
      </c>
      <c r="EE7" s="12" t="s">
        <v>54</v>
      </c>
      <c r="EF7" s="129" t="s">
        <v>493</v>
      </c>
      <c r="EY7" s="14" t="s">
        <v>518</v>
      </c>
      <c r="EZ7" s="24" t="s">
        <v>1337</v>
      </c>
      <c r="FC7" s="14" t="s">
        <v>54</v>
      </c>
      <c r="FD7" s="14" t="s">
        <v>518</v>
      </c>
      <c r="FE7" s="129" t="s">
        <v>1337</v>
      </c>
      <c r="FX7" s="33" t="s">
        <v>1314</v>
      </c>
      <c r="FY7" s="9" t="s">
        <v>541</v>
      </c>
      <c r="FZ7" s="4" t="s">
        <v>1889</v>
      </c>
      <c r="GA7" s="9"/>
      <c r="GD7" s="14" t="s">
        <v>22</v>
      </c>
      <c r="GE7" s="9" t="s">
        <v>541</v>
      </c>
      <c r="GF7" s="132" t="str">
        <f t="shared" si="3"/>
        <v>Rocker Double 9.5mm</v>
      </c>
      <c r="GG7" s="9"/>
      <c r="GI7" s="62" t="s">
        <v>566</v>
      </c>
      <c r="GJ7" s="12" t="s">
        <v>558</v>
      </c>
      <c r="GK7" s="17" t="s">
        <v>1894</v>
      </c>
      <c r="GN7" s="12" t="s">
        <v>561</v>
      </c>
      <c r="GO7" s="14" t="s">
        <v>518</v>
      </c>
      <c r="GP7" s="12" t="s">
        <v>425</v>
      </c>
      <c r="GQ7" s="133" t="str">
        <f t="shared" si="4"/>
        <v>Atlas Mnts/Legs 12mm</v>
      </c>
      <c r="GR7" s="12"/>
      <c r="GS7" s="9">
        <v>1</v>
      </c>
      <c r="GT7" s="107" t="s">
        <v>47</v>
      </c>
      <c r="GU7" s="12" t="s">
        <v>417</v>
      </c>
      <c r="GV7" s="4" t="s">
        <v>1898</v>
      </c>
      <c r="GW7" t="s">
        <v>1314</v>
      </c>
      <c r="GY7" s="12" t="s">
        <v>144</v>
      </c>
      <c r="GZ7" s="14" t="s">
        <v>518</v>
      </c>
      <c r="HA7" s="12" t="s">
        <v>424</v>
      </c>
      <c r="HB7" s="131" t="str">
        <f t="shared" si="5"/>
        <v>Triad Bracket 12mm</v>
      </c>
      <c r="HC7" s="12"/>
      <c r="HD7" s="12"/>
      <c r="HG7" s="9" t="s">
        <v>576</v>
      </c>
      <c r="HH7" s="4" t="s">
        <v>577</v>
      </c>
      <c r="HK7" s="62" t="s">
        <v>196</v>
      </c>
      <c r="HL7" s="62" t="s">
        <v>570</v>
      </c>
      <c r="HM7" s="129" t="s">
        <v>571</v>
      </c>
      <c r="HP7" s="9"/>
      <c r="ID7" s="9" t="s">
        <v>1284</v>
      </c>
      <c r="IF7" s="9" t="s">
        <v>58</v>
      </c>
      <c r="IG7" s="110" t="str">
        <f t="shared" ref="IG7:IG23" si="6">IF($AF$30="SH",CONCATENATE("LBS8",ID7),CONCATENATE("LB8",ID7))</f>
        <v>LB840</v>
      </c>
      <c r="IH7" s="9" t="s">
        <v>610</v>
      </c>
      <c r="II7" s="9" t="s">
        <v>611</v>
      </c>
      <c r="IJ7" s="9" t="s">
        <v>612</v>
      </c>
      <c r="IK7" s="9" t="s">
        <v>613</v>
      </c>
      <c r="IN7" s="9" t="s">
        <v>66</v>
      </c>
      <c r="IO7" s="9" t="s">
        <v>539</v>
      </c>
      <c r="IP7" t="s">
        <v>871</v>
      </c>
      <c r="IQ7" s="108" t="s">
        <v>52</v>
      </c>
      <c r="IU7" t="s">
        <v>66</v>
      </c>
      <c r="IV7" t="s">
        <v>23</v>
      </c>
      <c r="IW7" t="s">
        <v>892</v>
      </c>
      <c r="JT7" s="9"/>
      <c r="JU7" s="213"/>
      <c r="JY7" s="11"/>
      <c r="JZ7" s="10" t="s">
        <v>9</v>
      </c>
      <c r="KA7" s="216" t="str">
        <f t="shared" ref="KA7:KM7" si="7">IF(KA6&lt;&gt;"",$C$2,"")</f>
        <v/>
      </c>
      <c r="KB7" s="216" t="str">
        <f t="shared" si="7"/>
        <v/>
      </c>
      <c r="KC7" s="216" t="str">
        <f t="shared" si="7"/>
        <v/>
      </c>
      <c r="KD7" s="216" t="str">
        <f t="shared" si="7"/>
        <v/>
      </c>
      <c r="KE7" s="216" t="str">
        <f t="shared" si="7"/>
        <v/>
      </c>
      <c r="KF7" s="216" t="str">
        <f t="shared" si="7"/>
        <v/>
      </c>
      <c r="KG7" s="216" t="str">
        <f t="shared" si="7"/>
        <v/>
      </c>
      <c r="KH7" s="216" t="str">
        <f t="shared" si="7"/>
        <v/>
      </c>
      <c r="KI7" s="216" t="str">
        <f t="shared" si="7"/>
        <v/>
      </c>
      <c r="KJ7" s="216" t="str">
        <f t="shared" si="7"/>
        <v/>
      </c>
      <c r="KK7" s="216" t="str">
        <f t="shared" si="7"/>
        <v/>
      </c>
      <c r="KL7" s="216" t="str">
        <f t="shared" si="7"/>
        <v/>
      </c>
      <c r="KM7" s="240" t="str">
        <f t="shared" si="7"/>
        <v/>
      </c>
    </row>
    <row r="8" spans="1:299" x14ac:dyDescent="0.3">
      <c r="A8" s="54">
        <v>1</v>
      </c>
      <c r="B8" s="190"/>
      <c r="C8" s="190"/>
      <c r="D8" s="67"/>
      <c r="E8" s="190"/>
      <c r="F8" s="67"/>
      <c r="G8" s="191"/>
      <c r="H8" s="33" t="str">
        <f t="shared" ref="H8:H20" si="8">IF(AX8=4,CONCATENATE(AP8,AQ8,AF8,AR8," Cstm"),"")</f>
        <v/>
      </c>
      <c r="I8" s="67"/>
      <c r="J8" s="67"/>
      <c r="L8" s="67"/>
      <c r="M8" s="67"/>
      <c r="Z8" t="e" cm="1">
        <f t="array" ref="Z8">CONCATENATE(INDEX($CF$3:$CF$23,MATCH(AE8&amp;AH8,$BT$3:$BT$23&amp;$CC$3:$CC$23,0)),"CUSTOM")</f>
        <v>#N/A</v>
      </c>
      <c r="AA8" t="e">
        <f>INDEX(prd!$BF$5:$BF$40,MATCH(Outfitter!Z8,prd!$BD$5:$BD$40,0))</f>
        <v>#N/A</v>
      </c>
      <c r="AB8" t="e">
        <f>INDEX(prd!$BD$5:$BQ$40,MATCH(Outfitter!$Z8,prd!$BD$5:$BD$40,0),MATCH(Outfitter!$L$1,prd!$BD$5:$BQ$5,0))</f>
        <v>#N/A</v>
      </c>
      <c r="AC8" t="e">
        <f>INDEX(prd!$BG$5:$BG$40,MATCH(Outfitter!Z8,prd!$BD$5:$BD$40,0))</f>
        <v>#N/A</v>
      </c>
      <c r="AD8">
        <v>1</v>
      </c>
      <c r="AE8" s="25" t="e">
        <f t="shared" ref="AE8:AE20" si="9">$AF$2</f>
        <v>#N/A</v>
      </c>
      <c r="AF8" s="138" t="e">
        <f t="shared" ref="AF8:AF20" si="10">$AF$3</f>
        <v>#N/A</v>
      </c>
      <c r="AG8" s="25" t="e">
        <f t="shared" ref="AG8:AG20" si="11">$AF$4</f>
        <v>#N/A</v>
      </c>
      <c r="AH8" s="25" t="str">
        <f t="shared" ref="AH8:AH20" si="12">IFERROR(INDEX($BW$3:$BW$7,MATCH(B8,$BY$3:$BY$7,0)),"")</f>
        <v/>
      </c>
      <c r="AI8" s="25" t="str">
        <f t="shared" ref="AI8:AI20" si="13">IFERROR(INDEX($DY$1:$DY$1000,MATCH(C8,$DZ$1:$DZ$1000,0)),"")</f>
        <v/>
      </c>
      <c r="AJ8" s="25" t="str">
        <f t="shared" ref="AJ8:AJ20" si="14">IFERROR(INDEX($EY$1:$EY$1000,MATCH(E8,$EZ$1:$EZ$1000,0)),"")</f>
        <v/>
      </c>
      <c r="AK8" s="25" t="str">
        <f t="shared" ref="AK8:AK20" si="15">IF(AH8="LB",INDEX($FY$1:$FY$1000,MATCH(G8,$FZ$1:$FZ$1000,0)),IF(AH8="LF",INDEX($GJ$1:$GJ$1000,MATCH(G8,$GK$1:$GK$1000,0)),IF(AH8="LT",INDEX($GU$1:$GU$1000,MATCH(G8,$GV$1:$GV$1000,0)),IF(AH8="LS",INDEX($HG$1:$HG$1000,MATCH(G8,$HH$1:$HH$1000,0)),"Cosmic Calamity"))))</f>
        <v>Cosmic Calamity</v>
      </c>
      <c r="AL8" s="25">
        <f>IF(ISERROR(IF(C8="","",MATCH(C8,$EI$4:$EI$35,0)))=TRUE,1,0)</f>
        <v>0</v>
      </c>
      <c r="AM8" s="25">
        <f>IF(ISERROR(IF(E8="","", MATCH(E8,$FH$4:$FH$10,0)))=TRUE,1,0)</f>
        <v>0</v>
      </c>
      <c r="AN8" s="25">
        <f>IF(ISERROR(IF(G8="","", MATCH(G8,$HP$4:$HP$12,0)))=TRUE,1,0)</f>
        <v>0</v>
      </c>
      <c r="AO8" s="25" t="b">
        <f t="shared" ref="AO8:AO20" si="16">OR(AJ8="ML",AJ8="CL")</f>
        <v>0</v>
      </c>
      <c r="AP8" s="138" t="str">
        <f t="shared" ref="AP8:AP20" si="17">IFERROR(INDEX($IF$2:$IK$100,MATCH(AI8,$IF$2:$IF$100,0),MATCH(AE8,$IF$2:$IK$2,0)),"")</f>
        <v/>
      </c>
      <c r="AQ8" s="138" t="str" cm="1">
        <f t="array" ref="AQ8">IFERROR(IF(AH8&lt;&gt; "LS",INDEX($IQ$1:$IQ$32,MATCH(AH8&amp;AK8,$IN$1:$IN$32&amp;$IO$1:$IO$32,0)), IF(AH8="LS",INDEX($IR$34:$IR$72,MATCH(AH8&amp;AK8&amp;AJ8&amp;BA8,$IN$34:$IN$72&amp;$IO$34:$IO$72&amp;$IP$34:$IP$72&amp;$IQ$34:$IQ$72,0)),"el-CRASH-O")),"")</f>
        <v/>
      </c>
      <c r="AR8" s="138" t="str" cm="1">
        <f t="array" ref="AR8">IFERROR(IF(OR(AH8="LB",AH8="LF"),INDEX($IW$3:$IW$11,MATCH(AJ8,$IV$3:$IV$11,0)),IF(AH8="LT",INDEX($IX$15:$IX$42,MATCH(AH8&amp;AK8&amp;AJ8,$IU$15:$IU$42&amp;$IV$15:$IV$42&amp;$IW$15:$IW$42,0)),IF(AND(AH8="LS", AK8="P86C"),"WM",""))),"")</f>
        <v/>
      </c>
      <c r="AS8" s="25" cm="1">
        <f t="array" ref="AS8">IFERROR(IF(AH8 ="LB",ROUND(INDEX(prd!$CG$3:$CG$35,MATCH(Outfitter!$AJ8&amp;Outfitter!$AF$24,prd!$CD$3:$CD$35&amp;prd!$CE$3:$CE$35,0))*AB8/AA8,2),0),0)</f>
        <v>0</v>
      </c>
      <c r="AT8" s="25">
        <f>IFERROR(IF(AH8="LB",SUM(#REF!,#REF!,AS8),IF(AH8="LT",SUM(#REF!),IF(AH8="LF",SUM(#REF!),IF(AH8="LS",SUM(#REF!),0)))),0)</f>
        <v>0</v>
      </c>
      <c r="AU8" s="79" t="str">
        <f t="shared" ref="AU8:AU20" si="18">IFERROR(IF(AND(AH8="LB",$AQ$24="Yes",$AS$24="Yes"),CONCATENATE("$",AS8," for the ",SUBSTITUTE(C8," Bass",""),"  "),""),"")</f>
        <v/>
      </c>
      <c r="AV8" s="25" t="str">
        <f>IF(AH8="LB",INDEX(Outfitter!$FX$3:$FX$13,MATCH(Outfitter!AK8,Outfitter!$FY$3:$FY$13,0)),"")</f>
        <v/>
      </c>
      <c r="AW8" s="214" t="str">
        <f t="shared" ref="AW8:AW20" si="19">IF(AH8="LT",INDEX($GW$3:$GW$11,MATCH(AK8,$GU$3:$GU$11,0)),"")</f>
        <v/>
      </c>
      <c r="AX8" s="25">
        <f>COUNTA(B8,C8,E8,G8)</f>
        <v>0</v>
      </c>
      <c r="AY8" s="25">
        <f t="shared" ref="AY8:AY20" si="20">IF(AND(AX8&lt;4,AX9&gt;0),1,0)</f>
        <v>0</v>
      </c>
      <c r="AZ8" s="25">
        <f t="shared" ref="AZ8:AZ20" si="21">IF(OR(AX8=1,AX8=2, AX8=3),1,0)</f>
        <v>0</v>
      </c>
      <c r="BA8" s="188" t="str">
        <f t="shared" ref="BA8:BA20" si="22">IF(AND(AH8="LS",$AF$46="PDC"),"PDC","3F")</f>
        <v>3F</v>
      </c>
      <c r="BB8" s="79" t="str">
        <f t="shared" ref="BB8:BB20" si="23">IF(OR(AK8="P1216D",AK8="PLH1150"),CONCATENATE("2 ",$C$4," Badges"),CONCATENATE($C$4," Badge"))</f>
        <v xml:space="preserve"> Badge</v>
      </c>
      <c r="BC8" s="79"/>
      <c r="BD8" s="79"/>
      <c r="BE8" s="187" t="e">
        <f t="shared" ref="BE8:BE20" si="24">$AF$6</f>
        <v>#N/A</v>
      </c>
      <c r="BF8" s="25">
        <f t="shared" ref="BF8:BF20" si="25">IFERROR(IF(AND(AH8="LT",AI8&lt;&gt;"6_6T",AI8&lt;&gt;"6_8T",AO8=TRUE),1,0),0)</f>
        <v>0</v>
      </c>
      <c r="BG8" s="25">
        <f t="shared" ref="BG8:BG20" si="26">IFERROR(IF(AND(AH8="LS",OR(AI8="6_12S",AI8="6_13S",AI8="3H_13S")),1,0),0)</f>
        <v>0</v>
      </c>
      <c r="BH8" s="25">
        <f t="shared" ref="BH8:BH20" si="27">IFERROR(IF(AND(AH8="LS",AI8&lt;&gt;"5H_14x8S"),1,0),0)</f>
        <v>0</v>
      </c>
      <c r="BI8" s="25">
        <f t="shared" ref="BI8:BI20" si="28">IF(AND(AH8="LF",OR(AJ8="LT",AJ8="LI",AJ8="LL")),1,0)</f>
        <v>0</v>
      </c>
      <c r="BJ8" s="9">
        <f t="shared" ref="BJ8:BJ20" si="29">IF(OR(AI8="6_12S",AI8="6_13S",AI8="3H_13S"),1,0)</f>
        <v>0</v>
      </c>
      <c r="BK8" s="9">
        <f t="shared" ref="BK8:BK20" si="30">IF(AND(AH8="LS",AI8&lt;&gt;"6_12S",AI8&lt;&gt;"6_13S",AI8&lt;&gt;"3H_13S"),1,0)</f>
        <v>0</v>
      </c>
      <c r="BL8" t="str">
        <f t="shared" ref="BL8:BL20" si="31">IF(AH8&lt;&gt;"LS","",IF($G$48&lt;&gt;"",$G$48,IF(BJ8=1,$BN$19,$BN$17) ))</f>
        <v/>
      </c>
      <c r="BO8" s="12" t="s">
        <v>19</v>
      </c>
      <c r="BP8" s="12" t="s">
        <v>4</v>
      </c>
      <c r="BS8" s="12" t="s">
        <v>220</v>
      </c>
      <c r="BT8" s="12" t="s">
        <v>16</v>
      </c>
      <c r="CB8" s="12" t="s">
        <v>220</v>
      </c>
      <c r="CC8" s="12" t="s">
        <v>66</v>
      </c>
      <c r="CF8" s="89" t="s">
        <v>220</v>
      </c>
      <c r="CG8" t="s">
        <v>254</v>
      </c>
      <c r="CH8" t="s">
        <v>254</v>
      </c>
      <c r="CI8" t="s">
        <v>254</v>
      </c>
      <c r="CJ8" t="s">
        <v>250</v>
      </c>
      <c r="CK8" t="s">
        <v>153</v>
      </c>
      <c r="CN8" s="15" t="s">
        <v>280</v>
      </c>
      <c r="CO8" s="92" t="s">
        <v>281</v>
      </c>
      <c r="CP8" s="14" t="s">
        <v>278</v>
      </c>
      <c r="CQ8" s="14" t="s">
        <v>177</v>
      </c>
      <c r="CR8" s="6" t="str">
        <f t="shared" si="0"/>
        <v>B1: Bubinga, Nat/Mahogany Burst</v>
      </c>
      <c r="CT8" s="3" t="str">
        <f t="shared" si="1"/>
        <v>Wrap</v>
      </c>
      <c r="CU8" s="12" t="s">
        <v>17</v>
      </c>
      <c r="CV8" s="13" t="s">
        <v>330</v>
      </c>
      <c r="CW8" s="129" t="str">
        <f t="shared" si="2"/>
        <v>AO: Aged Onyx</v>
      </c>
      <c r="DF8" s="40" t="s">
        <v>414</v>
      </c>
      <c r="DG8" s="76" t="s">
        <v>1272</v>
      </c>
      <c r="DJ8" s="12" t="s">
        <v>15</v>
      </c>
      <c r="DK8" s="12" t="s">
        <v>73</v>
      </c>
      <c r="DL8" s="12" t="s">
        <v>413</v>
      </c>
      <c r="DM8" s="14" t="s">
        <v>394</v>
      </c>
      <c r="DN8" s="129" t="s">
        <v>199</v>
      </c>
      <c r="DR8" s="12" t="s">
        <v>16</v>
      </c>
      <c r="DS8" s="12" t="s">
        <v>73</v>
      </c>
      <c r="DT8" s="12" t="s">
        <v>413</v>
      </c>
      <c r="DU8" s="12" t="s">
        <v>397</v>
      </c>
      <c r="DV8" s="95"/>
      <c r="DX8" s="14" t="s">
        <v>70</v>
      </c>
      <c r="DY8" s="12" t="s">
        <v>134</v>
      </c>
      <c r="DZ8" s="12" t="s">
        <v>453</v>
      </c>
      <c r="EC8" s="14" t="s">
        <v>15</v>
      </c>
      <c r="ED8" s="12" t="s">
        <v>66</v>
      </c>
      <c r="EE8" s="12" t="s">
        <v>58</v>
      </c>
      <c r="EF8" s="129" t="s">
        <v>494</v>
      </c>
      <c r="EY8" s="14" t="s">
        <v>22</v>
      </c>
      <c r="EZ8" s="24" t="s">
        <v>519</v>
      </c>
      <c r="FC8" s="14" t="s">
        <v>54</v>
      </c>
      <c r="FD8" s="14" t="s">
        <v>16</v>
      </c>
      <c r="FE8" s="129" t="s">
        <v>1338</v>
      </c>
      <c r="FX8" s="33"/>
      <c r="FY8" s="9" t="s">
        <v>543</v>
      </c>
      <c r="FZ8" s="4" t="s">
        <v>544</v>
      </c>
      <c r="GA8" s="9" t="s">
        <v>1099</v>
      </c>
      <c r="GD8" s="14" t="s">
        <v>22</v>
      </c>
      <c r="GE8" s="9" t="s">
        <v>547</v>
      </c>
      <c r="GF8" s="132" t="str">
        <f t="shared" si="3"/>
        <v>ATLAS Single 12mm</v>
      </c>
      <c r="GG8" s="9"/>
      <c r="GI8" s="108"/>
      <c r="GJ8" s="12"/>
      <c r="GK8" s="17"/>
      <c r="GN8" s="12" t="s">
        <v>561</v>
      </c>
      <c r="GO8" s="14" t="s">
        <v>16</v>
      </c>
      <c r="GP8" s="12" t="s">
        <v>555</v>
      </c>
      <c r="GQ8" s="133" t="str">
        <f t="shared" si="4"/>
        <v>Clsc Ludwig Legs 9.5mm</v>
      </c>
      <c r="GR8" s="12"/>
      <c r="GS8" s="9">
        <v>2</v>
      </c>
      <c r="GT8" s="107" t="s">
        <v>96</v>
      </c>
      <c r="GU8" s="12" t="s">
        <v>424</v>
      </c>
      <c r="GV8" s="4" t="s">
        <v>1899</v>
      </c>
      <c r="GW8" t="s">
        <v>1315</v>
      </c>
      <c r="GY8" s="12" t="s">
        <v>144</v>
      </c>
      <c r="GZ8" s="14" t="s">
        <v>518</v>
      </c>
      <c r="HA8" s="12" t="s">
        <v>418</v>
      </c>
      <c r="HB8" s="131" t="str">
        <f t="shared" si="5"/>
        <v>Vibraband w/Triad 12mm</v>
      </c>
      <c r="HC8" s="12"/>
      <c r="HD8" s="12"/>
      <c r="HG8" s="9"/>
      <c r="HH8" s="4"/>
      <c r="HK8" s="62" t="s">
        <v>186</v>
      </c>
      <c r="HL8" s="62" t="s">
        <v>570</v>
      </c>
      <c r="HM8" s="129" t="s">
        <v>571</v>
      </c>
      <c r="HP8" s="9"/>
      <c r="ID8" s="9" t="s">
        <v>939</v>
      </c>
      <c r="IF8" s="9" t="s">
        <v>62</v>
      </c>
      <c r="IG8" s="110" t="str">
        <f t="shared" si="6"/>
        <v>LB860</v>
      </c>
      <c r="IH8" s="9" t="s">
        <v>614</v>
      </c>
      <c r="II8" s="9" t="s">
        <v>615</v>
      </c>
      <c r="IJ8" s="9" t="s">
        <v>616</v>
      </c>
      <c r="IK8" s="9" t="s">
        <v>617</v>
      </c>
      <c r="IN8" s="9" t="s">
        <v>66</v>
      </c>
      <c r="IO8" s="9" t="s">
        <v>541</v>
      </c>
      <c r="IP8" t="s">
        <v>872</v>
      </c>
      <c r="IQ8" s="108" t="s">
        <v>856</v>
      </c>
      <c r="IU8" t="s">
        <v>73</v>
      </c>
      <c r="IV8" t="s">
        <v>518</v>
      </c>
      <c r="IW8" t="s">
        <v>889</v>
      </c>
      <c r="JT8" s="9"/>
      <c r="JU8" s="213"/>
      <c r="JY8" s="11"/>
      <c r="JZ8" s="10" t="s">
        <v>20</v>
      </c>
      <c r="KA8" s="215" t="str">
        <f>IF(KA6="","",$B$8)</f>
        <v/>
      </c>
      <c r="KB8" s="215" t="str">
        <f>IF(KB6="","",$B$9)</f>
        <v/>
      </c>
      <c r="KC8" s="215" t="str">
        <f>IF(KC6="","",$B$10)</f>
        <v/>
      </c>
      <c r="KD8" s="215" t="str">
        <f>IF(KD6="","",$B$11)</f>
        <v/>
      </c>
      <c r="KE8" s="215" t="str">
        <f>IF(KE6="","",$B$12)</f>
        <v/>
      </c>
      <c r="KF8" s="215" t="str">
        <f>IF(KF6="","",$B$13)</f>
        <v/>
      </c>
      <c r="KG8" s="215" t="str">
        <f>IF(KG6="","",$B$14)</f>
        <v/>
      </c>
      <c r="KH8" s="215" t="str">
        <f>IF(KH6="","",$B$15)</f>
        <v/>
      </c>
      <c r="KI8" s="215" t="str">
        <f>IF(KI6="","",$B$16)</f>
        <v/>
      </c>
      <c r="KJ8" s="215" t="str">
        <f>IF(KJ6="","",$B$17)</f>
        <v/>
      </c>
      <c r="KK8" s="215" t="str">
        <f>IF(KK6="","",$B$18)</f>
        <v/>
      </c>
      <c r="KL8" s="215" t="str">
        <f>IF(KL6="","",$B$19)</f>
        <v/>
      </c>
      <c r="KM8" s="239" t="str">
        <f>IF(KM6="","",$B$20)</f>
        <v/>
      </c>
    </row>
    <row r="9" spans="1:299" x14ac:dyDescent="0.3">
      <c r="A9" s="54">
        <v>1</v>
      </c>
      <c r="B9" s="190"/>
      <c r="C9" s="190"/>
      <c r="D9" s="67"/>
      <c r="E9" s="190"/>
      <c r="F9" s="67"/>
      <c r="G9" s="191"/>
      <c r="H9" s="33" t="str">
        <f t="shared" si="8"/>
        <v/>
      </c>
      <c r="I9" s="67"/>
      <c r="J9" s="67"/>
      <c r="L9" s="67"/>
      <c r="M9" s="67"/>
      <c r="Z9" t="e" cm="1">
        <f t="array" ref="Z9">CONCATENATE(INDEX($CF$3:$CF$23,MATCH(AE9&amp;AH9,$BT$3:$BT$23&amp;$CC$3:$CC$23,0)),"CUSTOM")</f>
        <v>#N/A</v>
      </c>
      <c r="AA9" t="e">
        <f>INDEX(prd!$BF$5:$BF$40,MATCH(Outfitter!Z9,prd!$BD$5:$BD$40,0))</f>
        <v>#N/A</v>
      </c>
      <c r="AB9" t="e">
        <f>INDEX(prd!$BD$5:$BQ$40,MATCH(Outfitter!$Z9,prd!$BD$5:$BD$40,0),MATCH(Outfitter!$L$1,prd!$BD$5:$BQ$5,0))</f>
        <v>#N/A</v>
      </c>
      <c r="AC9" t="e">
        <f>INDEX(prd!$BG$5:$BG$40,MATCH(Outfitter!Z9,prd!$BD$5:$BD$40,0))</f>
        <v>#N/A</v>
      </c>
      <c r="AD9">
        <v>2</v>
      </c>
      <c r="AE9" s="25" t="e">
        <f t="shared" si="9"/>
        <v>#N/A</v>
      </c>
      <c r="AF9" s="138" t="e">
        <f t="shared" si="10"/>
        <v>#N/A</v>
      </c>
      <c r="AG9" s="25" t="e">
        <f t="shared" si="11"/>
        <v>#N/A</v>
      </c>
      <c r="AH9" s="25" t="str">
        <f t="shared" si="12"/>
        <v/>
      </c>
      <c r="AI9" s="25" t="str">
        <f t="shared" si="13"/>
        <v/>
      </c>
      <c r="AJ9" s="25" t="str">
        <f t="shared" si="14"/>
        <v/>
      </c>
      <c r="AK9" s="25" t="str">
        <f t="shared" si="15"/>
        <v>Cosmic Calamity</v>
      </c>
      <c r="AL9" s="25">
        <f>IF(ISERROR(IF(C9="","",MATCH(C9,$EJ$4:$EJ$35,0)))=TRUE,1,0)</f>
        <v>0</v>
      </c>
      <c r="AM9" s="25">
        <f>IF(ISERROR(IF(E9="","", MATCH(E9,$FI$4:$FI$10,0)))=TRUE,1,0)</f>
        <v>0</v>
      </c>
      <c r="AN9" s="25">
        <f>IF(ISERROR(IF(G9="","", MATCH(G9,$HQ$4:$HQ$12,0)))=TRUE,1,0)</f>
        <v>0</v>
      </c>
      <c r="AO9" s="25" t="b">
        <f t="shared" si="16"/>
        <v>0</v>
      </c>
      <c r="AP9" s="138" t="str">
        <f t="shared" si="17"/>
        <v/>
      </c>
      <c r="AQ9" s="138" t="str" cm="1">
        <f t="array" ref="AQ9">IFERROR(IF(AH9&lt;&gt; "LS",INDEX($IQ$1:$IQ$32,MATCH(AH9&amp;AK9,$IN$1:$IN$32&amp;$IO$1:$IO$32,0)), IF(AH9="LS",INDEX($IR$34:$IR$72,MATCH(AH9&amp;AK9&amp;AJ9&amp;BA9,$IN$34:$IN$72&amp;$IO$34:$IO$72&amp;$IP$34:$IP$72&amp;$IQ$34:$IQ$72,0)),"el-CRASH-O")),"")</f>
        <v/>
      </c>
      <c r="AR9" s="138" t="str" cm="1">
        <f t="array" ref="AR9">IFERROR(IF(OR(AH9="LB",AH9="LF"),INDEX($IW$3:$IW$11,MATCH(AJ9,$IV$3:$IV$11,0)),IF(AH9="LT",INDEX($IX$15:$IX$42,MATCH(AH9&amp;AK9&amp;AJ9,$IU$15:$IU$42&amp;$IV$15:$IV$42&amp;$IW$15:$IW$42,0)),IF(AND(AH9="LS", AK9="P86C"),"WM",""))),"")</f>
        <v/>
      </c>
      <c r="AS9" s="25" cm="1">
        <f t="array" ref="AS9">IFERROR(IF(AH9 ="LB",ROUND(INDEX(prd!$CG$3:$CG$35,MATCH(Outfitter!$AJ9&amp;Outfitter!$AF$24,prd!$CD$3:$CD$35&amp;prd!$CE$3:$CE$35,0))*AB9/AA9,2),0),0)</f>
        <v>0</v>
      </c>
      <c r="AT9" s="25">
        <f>IFERROR(IF(AH9="LB",SUM(#REF!,#REF!,AS9),IF(AH9="LT",SUM(#REF!),IF(AH9="LF",SUM(#REF!),IF(AH9="LS",SUM(#REF!),0)))),0)</f>
        <v>0</v>
      </c>
      <c r="AU9" s="79" t="str">
        <f t="shared" si="18"/>
        <v/>
      </c>
      <c r="AV9" s="25" t="str">
        <f>IF(AH9="LB",INDEX(Outfitter!$FX$3:$FX$13,MATCH(Outfitter!AK9,Outfitter!$FY$3:$FY$13,0)),"")</f>
        <v/>
      </c>
      <c r="AW9" s="214" t="str">
        <f t="shared" si="19"/>
        <v/>
      </c>
      <c r="AX9" s="25">
        <f>COUNTA(B9,C9,E9,G9)</f>
        <v>0</v>
      </c>
      <c r="AY9" s="25">
        <f t="shared" si="20"/>
        <v>0</v>
      </c>
      <c r="AZ9" s="25">
        <f t="shared" si="21"/>
        <v>0</v>
      </c>
      <c r="BA9" s="188" t="str">
        <f t="shared" si="22"/>
        <v>3F</v>
      </c>
      <c r="BB9" s="79" t="str">
        <f t="shared" si="23"/>
        <v xml:space="preserve"> Badge</v>
      </c>
      <c r="BC9" s="79"/>
      <c r="BD9" s="79"/>
      <c r="BE9" s="187" t="e">
        <f t="shared" si="24"/>
        <v>#N/A</v>
      </c>
      <c r="BF9" s="25">
        <f t="shared" si="25"/>
        <v>0</v>
      </c>
      <c r="BG9" s="25">
        <f t="shared" si="26"/>
        <v>0</v>
      </c>
      <c r="BH9" s="25">
        <f t="shared" si="27"/>
        <v>0</v>
      </c>
      <c r="BI9" s="25">
        <f t="shared" si="28"/>
        <v>0</v>
      </c>
      <c r="BJ9" s="9">
        <f t="shared" si="29"/>
        <v>0</v>
      </c>
      <c r="BK9" s="9">
        <f t="shared" si="30"/>
        <v>0</v>
      </c>
      <c r="BL9" t="str">
        <f t="shared" si="31"/>
        <v/>
      </c>
      <c r="BS9" s="12" t="s">
        <v>221</v>
      </c>
      <c r="BT9" s="12" t="s">
        <v>16</v>
      </c>
      <c r="CB9" s="12" t="s">
        <v>221</v>
      </c>
      <c r="CC9" s="12" t="s">
        <v>73</v>
      </c>
      <c r="CF9" s="89" t="s">
        <v>221</v>
      </c>
      <c r="CG9" t="s">
        <v>255</v>
      </c>
      <c r="CH9" t="s">
        <v>255</v>
      </c>
      <c r="CI9" t="s">
        <v>255</v>
      </c>
      <c r="CJ9" t="s">
        <v>250</v>
      </c>
      <c r="CK9" t="s">
        <v>165</v>
      </c>
      <c r="CN9" s="15" t="s">
        <v>284</v>
      </c>
      <c r="CO9" s="92" t="s">
        <v>285</v>
      </c>
      <c r="CP9" s="14" t="s">
        <v>286</v>
      </c>
      <c r="CQ9" s="14" t="s">
        <v>76</v>
      </c>
      <c r="CR9" s="6" t="str">
        <f t="shared" si="0"/>
        <v>AB: Aqua Burst</v>
      </c>
      <c r="CT9" s="3" t="str">
        <f t="shared" si="1"/>
        <v>Wrap</v>
      </c>
      <c r="CU9" s="12" t="s">
        <v>19</v>
      </c>
      <c r="CV9" s="13" t="s">
        <v>330</v>
      </c>
      <c r="CW9" s="129" t="str">
        <f t="shared" si="2"/>
        <v>AO: Aged Onyx</v>
      </c>
      <c r="DF9" s="3"/>
      <c r="DG9" s="3"/>
      <c r="DJ9" s="12" t="s">
        <v>15</v>
      </c>
      <c r="DK9" s="12" t="s">
        <v>73</v>
      </c>
      <c r="DL9" s="12" t="s">
        <v>413</v>
      </c>
      <c r="DM9" s="14" t="s">
        <v>414</v>
      </c>
      <c r="DN9" s="129" t="s">
        <v>1272</v>
      </c>
      <c r="DR9" s="12" t="s">
        <v>18</v>
      </c>
      <c r="DS9" s="12" t="s">
        <v>73</v>
      </c>
      <c r="DT9" s="12" t="s">
        <v>413</v>
      </c>
      <c r="DU9" s="12" t="s">
        <v>397</v>
      </c>
      <c r="DV9" s="95"/>
      <c r="DX9" s="14" t="s">
        <v>70</v>
      </c>
      <c r="DY9" s="12" t="s">
        <v>136</v>
      </c>
      <c r="DZ9" s="12" t="s">
        <v>454</v>
      </c>
      <c r="EC9" s="14" t="s">
        <v>15</v>
      </c>
      <c r="ED9" s="12" t="s">
        <v>66</v>
      </c>
      <c r="EE9" s="12" t="s">
        <v>62</v>
      </c>
      <c r="EF9" s="129" t="s">
        <v>495</v>
      </c>
      <c r="EY9" s="14" t="s">
        <v>16</v>
      </c>
      <c r="EZ9" s="24" t="s">
        <v>1338</v>
      </c>
      <c r="FC9" s="14" t="s">
        <v>67</v>
      </c>
      <c r="FD9" s="14" t="s">
        <v>22</v>
      </c>
      <c r="FE9" s="129" t="s">
        <v>519</v>
      </c>
      <c r="FX9" s="33" t="s">
        <v>1315</v>
      </c>
      <c r="FY9" s="9" t="s">
        <v>545</v>
      </c>
      <c r="FZ9" s="4" t="s">
        <v>1890</v>
      </c>
      <c r="GA9" s="9"/>
      <c r="GD9" s="14" t="s">
        <v>22</v>
      </c>
      <c r="GE9" s="9" t="s">
        <v>545</v>
      </c>
      <c r="GF9" s="132" t="str">
        <f t="shared" si="3"/>
        <v>ATLAS Double 12mm</v>
      </c>
      <c r="GG9" s="9"/>
      <c r="GI9" s="108"/>
      <c r="GK9" s="17"/>
      <c r="GN9" s="12" t="s">
        <v>561</v>
      </c>
      <c r="GO9" s="14" t="s">
        <v>16</v>
      </c>
      <c r="GP9" s="12" t="s">
        <v>556</v>
      </c>
      <c r="GQ9" s="133" t="str">
        <f t="shared" si="4"/>
        <v>No Legs or Drilling</v>
      </c>
      <c r="GR9" s="12"/>
      <c r="GS9" s="9">
        <v>1</v>
      </c>
      <c r="GT9" s="107" t="s">
        <v>47</v>
      </c>
      <c r="GU9" s="12" t="s">
        <v>418</v>
      </c>
      <c r="GV9" s="4" t="s">
        <v>1900</v>
      </c>
      <c r="GW9" t="s">
        <v>1315</v>
      </c>
      <c r="GY9" s="12" t="s">
        <v>144</v>
      </c>
      <c r="GZ9" s="14" t="s">
        <v>518</v>
      </c>
      <c r="HA9" s="12" t="s">
        <v>425</v>
      </c>
      <c r="HB9" s="131" t="str">
        <f t="shared" si="5"/>
        <v>Atlas Mount 12mm</v>
      </c>
      <c r="HC9" s="12"/>
      <c r="HD9" s="12"/>
      <c r="HK9" s="62" t="s">
        <v>189</v>
      </c>
      <c r="HL9" s="62" t="s">
        <v>570</v>
      </c>
      <c r="HM9" s="129" t="s">
        <v>571</v>
      </c>
      <c r="HP9" s="9"/>
      <c r="ID9" s="9" t="s">
        <v>928</v>
      </c>
      <c r="IF9" s="9" t="s">
        <v>64</v>
      </c>
      <c r="IG9" s="110" t="str">
        <f t="shared" si="6"/>
        <v>LB880</v>
      </c>
      <c r="IH9" s="9" t="s">
        <v>618</v>
      </c>
      <c r="II9" s="9" t="s">
        <v>619</v>
      </c>
      <c r="IJ9" s="9" t="s">
        <v>620</v>
      </c>
      <c r="IK9" s="9" t="s">
        <v>621</v>
      </c>
      <c r="IN9" s="9" t="s">
        <v>66</v>
      </c>
      <c r="IO9" s="9" t="s">
        <v>545</v>
      </c>
      <c r="IP9" t="s">
        <v>873</v>
      </c>
      <c r="IQ9" s="108" t="s">
        <v>59</v>
      </c>
      <c r="IU9" t="s">
        <v>73</v>
      </c>
      <c r="IV9" t="s">
        <v>16</v>
      </c>
      <c r="IW9" t="s">
        <v>890</v>
      </c>
      <c r="JT9" s="9"/>
      <c r="JU9" s="213"/>
      <c r="JY9" s="11"/>
      <c r="JZ9" s="10" t="s">
        <v>21</v>
      </c>
      <c r="KA9" s="215" t="str">
        <f>IF(KA6="","",$C$8)</f>
        <v/>
      </c>
      <c r="KB9" s="215" t="str">
        <f>IF(KB6="","",$C$9)</f>
        <v/>
      </c>
      <c r="KC9" s="215" t="str">
        <f>IF(KC6="","",$C$10)</f>
        <v/>
      </c>
      <c r="KD9" s="215" t="str">
        <f>IF(KD6="","",$C$11)</f>
        <v/>
      </c>
      <c r="KE9" s="215" t="str">
        <f>IF(KE6="","",$C$12)</f>
        <v/>
      </c>
      <c r="KF9" s="215" t="str">
        <f>IF(KF6="","",$C$13)</f>
        <v/>
      </c>
      <c r="KG9" s="215" t="str">
        <f>IF(KG6="","",$C$14)</f>
        <v/>
      </c>
      <c r="KH9" s="215" t="str">
        <f>IF(KH6="","",$C$15)</f>
        <v/>
      </c>
      <c r="KI9" s="215" t="str">
        <f>IF(KI6="","",$C$16)</f>
        <v/>
      </c>
      <c r="KJ9" s="215" t="str">
        <f>IF(KJ6="","",$C$17)</f>
        <v/>
      </c>
      <c r="KK9" s="215" t="str">
        <f>IF(KK6="","",$C$18)</f>
        <v/>
      </c>
      <c r="KL9" s="215" t="str">
        <f>IF(KL6="","",$C$19)</f>
        <v/>
      </c>
      <c r="KM9" s="239" t="str">
        <f>IF(KM6="","",$C$20)</f>
        <v/>
      </c>
    </row>
    <row r="10" spans="1:299" x14ac:dyDescent="0.3">
      <c r="A10" s="54">
        <v>1</v>
      </c>
      <c r="B10" s="190"/>
      <c r="C10" s="190"/>
      <c r="D10" s="67"/>
      <c r="E10" s="190"/>
      <c r="F10" s="67"/>
      <c r="G10" s="191"/>
      <c r="H10" s="33" t="str">
        <f t="shared" si="8"/>
        <v/>
      </c>
      <c r="I10" s="67"/>
      <c r="J10" s="67"/>
      <c r="L10" s="67"/>
      <c r="M10" s="67"/>
      <c r="Z10" t="e" cm="1">
        <f t="array" ref="Z10">CONCATENATE(INDEX($CF$3:$CF$23,MATCH(AE10&amp;AH10,$BT$3:$BT$23&amp;$CC$3:$CC$23,0)),"CUSTOM")</f>
        <v>#N/A</v>
      </c>
      <c r="AA10" t="e">
        <f>INDEX(prd!$BF$5:$BF$40,MATCH(Outfitter!Z10,prd!$BD$5:$BD$40,0))</f>
        <v>#N/A</v>
      </c>
      <c r="AB10" t="e">
        <f>INDEX(prd!$BD$5:$BQ$40,MATCH(Outfitter!$Z10,prd!$BD$5:$BD$40,0),MATCH(Outfitter!$L$1,prd!$BD$5:$BQ$5,0))</f>
        <v>#N/A</v>
      </c>
      <c r="AC10" t="e">
        <f>INDEX(prd!$BG$5:$BG$40,MATCH(Outfitter!Z10,prd!$BD$5:$BD$40,0))</f>
        <v>#N/A</v>
      </c>
      <c r="AD10">
        <v>3</v>
      </c>
      <c r="AE10" s="25" t="e">
        <f t="shared" si="9"/>
        <v>#N/A</v>
      </c>
      <c r="AF10" s="138" t="e">
        <f t="shared" si="10"/>
        <v>#N/A</v>
      </c>
      <c r="AG10" s="25" t="e">
        <f t="shared" si="11"/>
        <v>#N/A</v>
      </c>
      <c r="AH10" s="25" t="str">
        <f t="shared" si="12"/>
        <v/>
      </c>
      <c r="AI10" s="25" t="str">
        <f t="shared" si="13"/>
        <v/>
      </c>
      <c r="AJ10" s="25" t="str">
        <f t="shared" si="14"/>
        <v/>
      </c>
      <c r="AK10" s="25" t="str">
        <f t="shared" si="15"/>
        <v>Cosmic Calamity</v>
      </c>
      <c r="AL10" s="25">
        <f>IF(ISERROR(IF(C10="","",MATCH(C10,$EK$4:$EK$35,0)))=TRUE,1,0)</f>
        <v>0</v>
      </c>
      <c r="AM10" s="25">
        <f>IF(ISERROR(IF(E10="","", MATCH(E10,$FJ$4:$FJ$10,0)))=TRUE,1,0)</f>
        <v>0</v>
      </c>
      <c r="AN10" s="25">
        <f>IF(ISERROR(IF(G10="","", MATCH(G10,$HR$4:$HR$12,0)))=TRUE,1,0)</f>
        <v>0</v>
      </c>
      <c r="AO10" s="25" t="b">
        <f t="shared" si="16"/>
        <v>0</v>
      </c>
      <c r="AP10" s="138" t="str">
        <f t="shared" si="17"/>
        <v/>
      </c>
      <c r="AQ10" s="138" t="str" cm="1">
        <f t="array" ref="AQ10">IFERROR(IF(AH10&lt;&gt; "LS",INDEX($IQ$1:$IQ$32,MATCH(AH10&amp;AK10,$IN$1:$IN$32&amp;$IO$1:$IO$32,0)), IF(AH10="LS",INDEX($IR$34:$IR$72,MATCH(AH10&amp;AK10&amp;AJ10&amp;BA10,$IN$34:$IN$72&amp;$IO$34:$IO$72&amp;$IP$34:$IP$72&amp;$IQ$34:$IQ$72,0)),"el-CRASH-O")),"")</f>
        <v/>
      </c>
      <c r="AR10" s="138" t="str" cm="1">
        <f t="array" ref="AR10">IFERROR(IF(OR(AH10="LB",AH10="LF"),INDEX($IW$3:$IW$11,MATCH(AJ10,$IV$3:$IV$11,0)),IF(AH10="LT",INDEX($IX$15:$IX$42,MATCH(AH10&amp;AK10&amp;AJ10,$IU$15:$IU$42&amp;$IV$15:$IV$42&amp;$IW$15:$IW$42,0)),IF(AND(AH10="LS", AK10="P86C"),"WM",""))),"")</f>
        <v/>
      </c>
      <c r="AS10" s="25" cm="1">
        <f t="array" ref="AS10">IFERROR(IF(AH10 ="LB",ROUND(INDEX(prd!$CG$3:$CG$35,MATCH(Outfitter!$AJ10&amp;Outfitter!$AF$24,prd!$CD$3:$CD$35&amp;prd!$CE$3:$CE$35,0))*AB10/AA10,2),0),0)</f>
        <v>0</v>
      </c>
      <c r="AT10" s="25">
        <f>IFERROR(IF(AH10="LB",SUM(#REF!,#REF!,AS10),IF(AH10="LT",SUM(#REF!),IF(AH10="LF",SUM(#REF!),IF(AH10="LS",SUM(#REF!),0)))),0)</f>
        <v>0</v>
      </c>
      <c r="AU10" s="79" t="str">
        <f t="shared" si="18"/>
        <v/>
      </c>
      <c r="AV10" s="25" t="str">
        <f>IF(AH10="LB",INDEX(Outfitter!$FX$3:$FX$13,MATCH(Outfitter!AK10,Outfitter!$FY$3:$FY$13,0)),"")</f>
        <v/>
      </c>
      <c r="AW10" s="214" t="str">
        <f t="shared" si="19"/>
        <v/>
      </c>
      <c r="AX10" s="25">
        <f t="shared" ref="AX10:AX20" si="32">COUNTA(B10,C10,E10,G10)</f>
        <v>0</v>
      </c>
      <c r="AY10" s="25">
        <f t="shared" si="20"/>
        <v>0</v>
      </c>
      <c r="AZ10" s="25">
        <f t="shared" si="21"/>
        <v>0</v>
      </c>
      <c r="BA10" s="188" t="str">
        <f t="shared" si="22"/>
        <v>3F</v>
      </c>
      <c r="BB10" s="79" t="str">
        <f t="shared" si="23"/>
        <v xml:space="preserve"> Badge</v>
      </c>
      <c r="BC10" s="79"/>
      <c r="BD10" s="79"/>
      <c r="BE10" s="187" t="e">
        <f t="shared" si="24"/>
        <v>#N/A</v>
      </c>
      <c r="BF10" s="25">
        <f t="shared" si="25"/>
        <v>0</v>
      </c>
      <c r="BG10" s="25">
        <f t="shared" si="26"/>
        <v>0</v>
      </c>
      <c r="BH10" s="25">
        <f t="shared" si="27"/>
        <v>0</v>
      </c>
      <c r="BI10" s="25">
        <f t="shared" si="28"/>
        <v>0</v>
      </c>
      <c r="BJ10" s="9">
        <f t="shared" si="29"/>
        <v>0</v>
      </c>
      <c r="BK10" s="9">
        <f t="shared" si="30"/>
        <v>0</v>
      </c>
      <c r="BL10" t="str">
        <f t="shared" si="31"/>
        <v/>
      </c>
      <c r="BS10" s="12" t="s">
        <v>222</v>
      </c>
      <c r="BT10" s="12" t="s">
        <v>16</v>
      </c>
      <c r="CB10" s="12" t="s">
        <v>222</v>
      </c>
      <c r="CC10" s="12" t="s">
        <v>24</v>
      </c>
      <c r="CF10" s="89" t="s">
        <v>222</v>
      </c>
      <c r="CG10" t="s">
        <v>256</v>
      </c>
      <c r="CH10" t="s">
        <v>256</v>
      </c>
      <c r="CI10" t="s">
        <v>256</v>
      </c>
      <c r="CJ10" t="s">
        <v>250</v>
      </c>
      <c r="CK10" t="s">
        <v>159</v>
      </c>
      <c r="CN10" s="15" t="s">
        <v>287</v>
      </c>
      <c r="CO10" s="92" t="s">
        <v>79</v>
      </c>
      <c r="CP10" s="14" t="s">
        <v>286</v>
      </c>
      <c r="CQ10" s="14" t="s">
        <v>76</v>
      </c>
      <c r="CR10" s="6" t="str">
        <f t="shared" si="0"/>
        <v>GN: Black Cat</v>
      </c>
      <c r="CT10" s="3" t="str">
        <f t="shared" si="1"/>
        <v>Sprayed</v>
      </c>
      <c r="CU10" s="12" t="s">
        <v>15</v>
      </c>
      <c r="CV10" s="15" t="s">
        <v>284</v>
      </c>
      <c r="CW10" s="129" t="str">
        <f t="shared" si="2"/>
        <v>AB: Aqua Burst</v>
      </c>
      <c r="DA10" t="s">
        <v>1346</v>
      </c>
      <c r="DF10" s="14" t="s">
        <v>395</v>
      </c>
      <c r="DG10" s="24" t="s">
        <v>396</v>
      </c>
      <c r="DJ10" s="12" t="s">
        <v>15</v>
      </c>
      <c r="DK10" s="12" t="s">
        <v>52</v>
      </c>
      <c r="DL10" s="12" t="s">
        <v>413</v>
      </c>
      <c r="DM10" s="14" t="s">
        <v>399</v>
      </c>
      <c r="DN10" s="129" t="s">
        <v>1330</v>
      </c>
      <c r="DR10" s="12" t="s">
        <v>15</v>
      </c>
      <c r="DS10" s="12" t="s">
        <v>52</v>
      </c>
      <c r="DT10" s="12" t="s">
        <v>413</v>
      </c>
      <c r="DU10" s="12" t="s">
        <v>399</v>
      </c>
      <c r="DV10" s="95"/>
      <c r="DX10" s="14" t="s">
        <v>70</v>
      </c>
      <c r="DY10" s="12" t="s">
        <v>137</v>
      </c>
      <c r="DZ10" s="12" t="s">
        <v>455</v>
      </c>
      <c r="EC10" s="14" t="s">
        <v>15</v>
      </c>
      <c r="ED10" s="12" t="s">
        <v>66</v>
      </c>
      <c r="EE10" s="12" t="s">
        <v>64</v>
      </c>
      <c r="EF10" s="129" t="s">
        <v>496</v>
      </c>
      <c r="EY10" s="14" t="s">
        <v>520</v>
      </c>
      <c r="EZ10" s="22" t="s">
        <v>521</v>
      </c>
      <c r="FC10" s="14" t="s">
        <v>67</v>
      </c>
      <c r="FD10" s="14" t="s">
        <v>518</v>
      </c>
      <c r="FE10" s="129" t="s">
        <v>1337</v>
      </c>
      <c r="FX10" s="33" t="s">
        <v>1315</v>
      </c>
      <c r="FY10" s="9" t="s">
        <v>547</v>
      </c>
      <c r="FZ10" s="4" t="s">
        <v>1891</v>
      </c>
      <c r="GA10" s="9" t="s">
        <v>1099</v>
      </c>
      <c r="GD10" s="14" t="s">
        <v>22</v>
      </c>
      <c r="GE10" s="9" t="s">
        <v>549</v>
      </c>
      <c r="GF10" s="132" t="str">
        <f t="shared" si="3"/>
        <v>ATLAS Arch 12mm</v>
      </c>
      <c r="GG10" s="9"/>
      <c r="GI10" s="108"/>
      <c r="GK10" s="17"/>
      <c r="GN10" s="12" t="s">
        <v>561</v>
      </c>
      <c r="GO10" s="14" t="s">
        <v>16</v>
      </c>
      <c r="GP10" s="12" t="s">
        <v>558</v>
      </c>
      <c r="GQ10" s="133" t="str">
        <f t="shared" si="4"/>
        <v>Triad Brkts/Legs 12mm</v>
      </c>
      <c r="GR10" s="12"/>
      <c r="GY10" s="12" t="s">
        <v>144</v>
      </c>
      <c r="GZ10" s="14" t="s">
        <v>16</v>
      </c>
      <c r="HA10" s="12" t="s">
        <v>413</v>
      </c>
      <c r="HB10" s="131" t="str">
        <f t="shared" ref="HB10:HB73" si="33">INDEX($GV$3:$GV$12,MATCH(HA10,$GU$3:$GU$12,0))</f>
        <v>No Mounting Bracket</v>
      </c>
      <c r="HC10" s="12"/>
      <c r="HD10" s="12"/>
      <c r="HK10" s="62" t="s">
        <v>193</v>
      </c>
      <c r="HL10" s="62" t="s">
        <v>570</v>
      </c>
      <c r="HM10" s="129" t="s">
        <v>571</v>
      </c>
      <c r="HP10" s="9"/>
      <c r="ID10" s="9" t="s">
        <v>1285</v>
      </c>
      <c r="IF10" s="9" t="s">
        <v>68</v>
      </c>
      <c r="IG10" s="110" t="str">
        <f t="shared" si="6"/>
        <v>LB800</v>
      </c>
      <c r="IH10" s="9" t="s">
        <v>622</v>
      </c>
      <c r="II10" s="9" t="s">
        <v>623</v>
      </c>
      <c r="IJ10" s="9" t="s">
        <v>624</v>
      </c>
      <c r="IK10" s="9" t="e">
        <v>#N/A</v>
      </c>
      <c r="IN10" s="9" t="s">
        <v>66</v>
      </c>
      <c r="IO10" s="9" t="s">
        <v>547</v>
      </c>
      <c r="IP10" t="s">
        <v>874</v>
      </c>
      <c r="IQ10" s="108" t="s">
        <v>857</v>
      </c>
      <c r="IU10" t="s">
        <v>73</v>
      </c>
      <c r="IV10" t="s">
        <v>24</v>
      </c>
      <c r="IW10" t="s">
        <v>891</v>
      </c>
      <c r="JT10" s="9"/>
      <c r="JU10" s="213"/>
      <c r="JY10" s="11"/>
      <c r="JZ10" s="10" t="s">
        <v>1265</v>
      </c>
      <c r="KA10" s="216" t="str" cm="1">
        <f t="array" ref="KA10">IFERROR(INDEX($AG$1:$AG$55,MATCH(KA$6&amp;$JZ10,$Z$1:$Z$55&amp;$AE$1:$AE$55,0)),"")</f>
        <v/>
      </c>
      <c r="KB10" s="216" t="str" cm="1">
        <f t="array" ref="KB10">IFERROR(INDEX($AG$1:$AG$55,MATCH(KB$6&amp;$JZ10,$Z$1:$Z$55&amp;$AE$1:$AE$55,0)),"")</f>
        <v/>
      </c>
      <c r="KC10" s="216" t="str" cm="1">
        <f t="array" ref="KC10">IFERROR(INDEX($AG$1:$AG$55,MATCH(KC$6&amp;$JZ10,$Z$1:$Z$55&amp;$AE$1:$AE$55,0)),"")</f>
        <v/>
      </c>
      <c r="KD10" s="216" t="str" cm="1">
        <f t="array" ref="KD10">IFERROR(INDEX($AG$1:$AG$55,MATCH(KD$6&amp;$JZ10,$Z$1:$Z$55&amp;$AE$1:$AE$55,0)),"")</f>
        <v/>
      </c>
      <c r="KE10" s="216" t="str" cm="1">
        <f t="array" ref="KE10">IFERROR(INDEX($AG$1:$AG$55,MATCH(KE$6&amp;$JZ10,$Z$1:$Z$55&amp;$AE$1:$AE$55,0)),"")</f>
        <v/>
      </c>
      <c r="KF10" s="216" t="str" cm="1">
        <f t="array" ref="KF10">IFERROR(INDEX($AG$1:$AG$55,MATCH(KF$6&amp;$JZ10,$Z$1:$Z$55&amp;$AE$1:$AE$55,0)),"")</f>
        <v/>
      </c>
      <c r="KG10" s="216" t="str" cm="1">
        <f t="array" ref="KG10">IFERROR(INDEX($AG$1:$AG$55,MATCH(KG$6&amp;$JZ10,$Z$1:$Z$55&amp;$AE$1:$AE$55,0)),"")</f>
        <v/>
      </c>
      <c r="KH10" s="216" t="str" cm="1">
        <f t="array" ref="KH10">IFERROR(INDEX($AG$1:$AG$55,MATCH(KH$6&amp;$JZ10,$Z$1:$Z$55&amp;$AE$1:$AE$55,0)),"")</f>
        <v/>
      </c>
      <c r="KI10" s="216" t="str" cm="1">
        <f t="array" ref="KI10">IFERROR(INDEX($AG$1:$AG$55,MATCH(KI$6&amp;$JZ10,$Z$1:$Z$55&amp;$AE$1:$AE$55,0)),"")</f>
        <v/>
      </c>
      <c r="KJ10" s="216" t="str" cm="1">
        <f t="array" ref="KJ10">IFERROR(INDEX($AG$1:$AG$55,MATCH(KJ$6&amp;$JZ10,$Z$1:$Z$55&amp;$AE$1:$AE$55,0)),"")</f>
        <v/>
      </c>
      <c r="KK10" s="216" t="str" cm="1">
        <f t="array" ref="KK10">IFERROR(INDEX($AG$1:$AG$55,MATCH(KK$6&amp;$JZ10,$Z$1:$Z$55&amp;$AE$1:$AE$55,0)),"")</f>
        <v/>
      </c>
      <c r="KL10" s="216" t="str" cm="1">
        <f t="array" ref="KL10">IFERROR(INDEX($AG$1:$AG$55,MATCH(KL$6&amp;$JZ10,$Z$1:$Z$55&amp;$AE$1:$AE$55,0)),"")</f>
        <v/>
      </c>
      <c r="KM10" s="240" t="str" cm="1">
        <f t="array" ref="KM10">IFERROR(INDEX($AG$1:$AG$55,MATCH(KM$6&amp;$JZ10,$Z$1:$Z$55&amp;$AE$1:$AE$55,0)),"")</f>
        <v/>
      </c>
    </row>
    <row r="11" spans="1:299" x14ac:dyDescent="0.3">
      <c r="A11" s="54">
        <v>1</v>
      </c>
      <c r="B11" s="190"/>
      <c r="C11" s="190"/>
      <c r="D11" s="67"/>
      <c r="E11" s="190"/>
      <c r="F11" s="67"/>
      <c r="G11" s="191"/>
      <c r="H11" s="33" t="str">
        <f t="shared" si="8"/>
        <v/>
      </c>
      <c r="I11" s="67"/>
      <c r="J11" s="67"/>
      <c r="L11" s="67"/>
      <c r="M11" s="67"/>
      <c r="Z11" t="e" cm="1">
        <f t="array" ref="Z11">CONCATENATE(INDEX($CF$3:$CF$23,MATCH(AE11&amp;AH11,$BT$3:$BT$23&amp;$CC$3:$CC$23,0)),"CUSTOM")</f>
        <v>#N/A</v>
      </c>
      <c r="AA11" t="e">
        <f>INDEX(prd!$BF$5:$BF$40,MATCH(Outfitter!Z11,prd!$BD$5:$BD$40,0))</f>
        <v>#N/A</v>
      </c>
      <c r="AB11" t="e">
        <f>INDEX(prd!$BD$5:$BQ$40,MATCH(Outfitter!$Z11,prd!$BD$5:$BD$40,0),MATCH(Outfitter!$L$1,prd!$BD$5:$BQ$5,0))</f>
        <v>#N/A</v>
      </c>
      <c r="AC11" t="e">
        <f>INDEX(prd!$BG$5:$BG$40,MATCH(Outfitter!Z11,prd!$BD$5:$BD$40,0))</f>
        <v>#N/A</v>
      </c>
      <c r="AD11">
        <v>4</v>
      </c>
      <c r="AE11" s="25" t="e">
        <f t="shared" si="9"/>
        <v>#N/A</v>
      </c>
      <c r="AF11" s="138" t="e">
        <f t="shared" si="10"/>
        <v>#N/A</v>
      </c>
      <c r="AG11" s="25" t="e">
        <f t="shared" si="11"/>
        <v>#N/A</v>
      </c>
      <c r="AH11" s="25" t="str">
        <f t="shared" si="12"/>
        <v/>
      </c>
      <c r="AI11" s="25" t="str">
        <f t="shared" si="13"/>
        <v/>
      </c>
      <c r="AJ11" s="25" t="str">
        <f t="shared" si="14"/>
        <v/>
      </c>
      <c r="AK11" s="25" t="str">
        <f t="shared" si="15"/>
        <v>Cosmic Calamity</v>
      </c>
      <c r="AL11" s="25">
        <f>IF(ISERROR(IF(C11="","",MATCH(C11,$EL$4:$EL$35,0)))=TRUE,1,0)</f>
        <v>0</v>
      </c>
      <c r="AM11" s="25">
        <f>IF(ISERROR(IF(E11="","", MATCH(E11,$FK$4:$FK$10,0)))=TRUE,1,0)</f>
        <v>0</v>
      </c>
      <c r="AN11" s="25">
        <f>IF(ISERROR(IF(G11="","", MATCH(G11,$HS$4:$HS$12,0)))=TRUE,1,0)</f>
        <v>0</v>
      </c>
      <c r="AO11" s="25" t="b">
        <f t="shared" si="16"/>
        <v>0</v>
      </c>
      <c r="AP11" s="138" t="str">
        <f t="shared" si="17"/>
        <v/>
      </c>
      <c r="AQ11" s="138" t="str" cm="1">
        <f t="array" ref="AQ11">IFERROR(IF(AH11&lt;&gt; "LS",INDEX($IQ$1:$IQ$32,MATCH(AH11&amp;AK11,$IN$1:$IN$32&amp;$IO$1:$IO$32,0)), IF(AH11="LS",INDEX($IR$34:$IR$72,MATCH(AH11&amp;AK11&amp;AJ11&amp;BA11,$IN$34:$IN$72&amp;$IO$34:$IO$72&amp;$IP$34:$IP$72&amp;$IQ$34:$IQ$72,0)),"el-CRASH-O")),"")</f>
        <v/>
      </c>
      <c r="AR11" s="138" t="str" cm="1">
        <f t="array" ref="AR11">IFERROR(IF(OR(AH11="LB",AH11="LF"),INDEX($IW$3:$IW$11,MATCH(AJ11,$IV$3:$IV$11,0)),IF(AH11="LT",INDEX($IX$15:$IX$42,MATCH(AH11&amp;AK11&amp;AJ11,$IU$15:$IU$42&amp;$IV$15:$IV$42&amp;$IW$15:$IW$42,0)),IF(AND(AH11="LS", AK11="P86C"),"WM",""))),"")</f>
        <v/>
      </c>
      <c r="AS11" s="25" cm="1">
        <f t="array" ref="AS11">IFERROR(IF(AH11 ="LB",ROUND(INDEX(prd!$CG$3:$CG$35,MATCH(Outfitter!$AJ11&amp;Outfitter!$AF$24,prd!$CD$3:$CD$35&amp;prd!$CE$3:$CE$35,0))*AB11/AA11,2),0),0)</f>
        <v>0</v>
      </c>
      <c r="AT11" s="25">
        <f>IFERROR(IF(AH11="LB",SUM(#REF!,#REF!,AS11),IF(AH11="LT",SUM(#REF!),IF(AH11="LF",SUM(#REF!),IF(AH11="LS",SUM(#REF!),0)))),0)</f>
        <v>0</v>
      </c>
      <c r="AU11" s="79" t="str">
        <f t="shared" si="18"/>
        <v/>
      </c>
      <c r="AV11" s="25" t="str">
        <f>IF(AH11="LB",INDEX(Outfitter!$FX$3:$FX$13,MATCH(Outfitter!AK11,Outfitter!$FY$3:$FY$13,0)),"")</f>
        <v/>
      </c>
      <c r="AW11" s="214" t="str">
        <f t="shared" si="19"/>
        <v/>
      </c>
      <c r="AX11" s="25">
        <f t="shared" si="32"/>
        <v>0</v>
      </c>
      <c r="AY11" s="25">
        <f t="shared" si="20"/>
        <v>0</v>
      </c>
      <c r="AZ11" s="25">
        <f t="shared" si="21"/>
        <v>0</v>
      </c>
      <c r="BA11" s="188" t="str">
        <f t="shared" si="22"/>
        <v>3F</v>
      </c>
      <c r="BB11" s="79" t="str">
        <f t="shared" si="23"/>
        <v xml:space="preserve"> Badge</v>
      </c>
      <c r="BC11" s="79"/>
      <c r="BD11" s="79"/>
      <c r="BE11" s="187" t="e">
        <f t="shared" si="24"/>
        <v>#N/A</v>
      </c>
      <c r="BF11" s="25">
        <f t="shared" si="25"/>
        <v>0</v>
      </c>
      <c r="BG11" s="25">
        <f t="shared" si="26"/>
        <v>0</v>
      </c>
      <c r="BH11" s="25">
        <f t="shared" si="27"/>
        <v>0</v>
      </c>
      <c r="BI11" s="25">
        <f t="shared" si="28"/>
        <v>0</v>
      </c>
      <c r="BJ11" s="9">
        <f t="shared" si="29"/>
        <v>0</v>
      </c>
      <c r="BK11" s="9">
        <f t="shared" si="30"/>
        <v>0</v>
      </c>
      <c r="BL11" t="str">
        <f t="shared" si="31"/>
        <v/>
      </c>
      <c r="BS11" s="12" t="s">
        <v>223</v>
      </c>
      <c r="BT11" s="12" t="s">
        <v>16</v>
      </c>
      <c r="CB11" s="12" t="s">
        <v>223</v>
      </c>
      <c r="CC11" s="12" t="s">
        <v>52</v>
      </c>
      <c r="CF11" s="89" t="s">
        <v>223</v>
      </c>
      <c r="CG11" t="s">
        <v>257</v>
      </c>
      <c r="CH11" t="s">
        <v>257</v>
      </c>
      <c r="CI11" t="s">
        <v>257</v>
      </c>
      <c r="CJ11" t="s">
        <v>250</v>
      </c>
      <c r="CK11" t="s">
        <v>171</v>
      </c>
      <c r="CN11" s="15" t="s">
        <v>288</v>
      </c>
      <c r="CO11" s="92" t="s">
        <v>289</v>
      </c>
      <c r="CP11" s="14" t="s">
        <v>286</v>
      </c>
      <c r="CQ11" s="14" t="s">
        <v>76</v>
      </c>
      <c r="CR11" s="6" t="str">
        <f t="shared" si="0"/>
        <v>K3: Blue Burst</v>
      </c>
      <c r="CT11" s="3" t="str">
        <f t="shared" si="1"/>
        <v>Sprayed</v>
      </c>
      <c r="CU11" s="12" t="s">
        <v>16</v>
      </c>
      <c r="CV11" s="15" t="s">
        <v>284</v>
      </c>
      <c r="CW11" s="129" t="str">
        <f t="shared" si="2"/>
        <v>AB: Aqua Burst</v>
      </c>
      <c r="DA11" s="135"/>
      <c r="DB11" s="135"/>
      <c r="DC11" s="135"/>
      <c r="DF11" s="14" t="s">
        <v>398</v>
      </c>
      <c r="DG11" s="24" t="s">
        <v>431</v>
      </c>
      <c r="DJ11" s="12" t="s">
        <v>15</v>
      </c>
      <c r="DK11" s="12" t="s">
        <v>52</v>
      </c>
      <c r="DL11" s="12" t="s">
        <v>413</v>
      </c>
      <c r="DM11" s="14" t="s">
        <v>394</v>
      </c>
      <c r="DN11" s="129" t="s">
        <v>199</v>
      </c>
      <c r="DR11" s="12" t="s">
        <v>16</v>
      </c>
      <c r="DS11" s="12" t="s">
        <v>52</v>
      </c>
      <c r="DT11" s="12" t="s">
        <v>413</v>
      </c>
      <c r="DU11" s="12" t="s">
        <v>397</v>
      </c>
      <c r="DV11" s="95"/>
      <c r="DX11" s="14" t="s">
        <v>70</v>
      </c>
      <c r="DY11" s="12" t="s">
        <v>138</v>
      </c>
      <c r="DZ11" s="12" t="s">
        <v>456</v>
      </c>
      <c r="EC11" s="14" t="s">
        <v>15</v>
      </c>
      <c r="ED11" s="12" t="s">
        <v>66</v>
      </c>
      <c r="EE11" s="12" t="s">
        <v>67</v>
      </c>
      <c r="EF11" s="129" t="s">
        <v>498</v>
      </c>
      <c r="EY11" s="14" t="s">
        <v>23</v>
      </c>
      <c r="EZ11" s="91" t="s">
        <v>527</v>
      </c>
      <c r="FC11" s="14" t="s">
        <v>67</v>
      </c>
      <c r="FD11" s="14" t="s">
        <v>16</v>
      </c>
      <c r="FE11" s="129" t="s">
        <v>1338</v>
      </c>
      <c r="FX11" s="33" t="s">
        <v>1315</v>
      </c>
      <c r="FY11" s="9" t="s">
        <v>549</v>
      </c>
      <c r="FZ11" s="4" t="s">
        <v>1892</v>
      </c>
      <c r="GA11" s="9" t="s">
        <v>1099</v>
      </c>
      <c r="GD11" s="14" t="s">
        <v>518</v>
      </c>
      <c r="GE11" s="9" t="s">
        <v>536</v>
      </c>
      <c r="GF11" s="132" t="str">
        <f t="shared" si="3"/>
        <v>Less Mount / Holder</v>
      </c>
      <c r="GG11" s="9"/>
      <c r="GK11" s="17"/>
      <c r="GN11" s="12" t="s">
        <v>561</v>
      </c>
      <c r="GO11" s="14" t="s">
        <v>22</v>
      </c>
      <c r="GP11" s="12" t="s">
        <v>555</v>
      </c>
      <c r="GQ11" s="133" t="str">
        <f t="shared" ref="GQ11:GQ26" si="34">INDEX($GK$3:$GK$10,MATCH(GP11,$GJ$3:$GJ$10,0))</f>
        <v>Clsc Ludwig Legs 9.5mm</v>
      </c>
      <c r="GR11" s="12"/>
      <c r="GY11" s="12" t="s">
        <v>144</v>
      </c>
      <c r="GZ11" s="14" t="s">
        <v>16</v>
      </c>
      <c r="HA11" s="12" t="s">
        <v>419</v>
      </c>
      <c r="HB11" s="131" t="str">
        <f t="shared" si="33"/>
        <v>Ludwig Classic 9.5mm</v>
      </c>
      <c r="HC11" s="12"/>
      <c r="HD11" s="12"/>
      <c r="HK11" s="62" t="s">
        <v>198</v>
      </c>
      <c r="HL11" s="62" t="s">
        <v>570</v>
      </c>
      <c r="HM11" s="129" t="s">
        <v>571</v>
      </c>
      <c r="HP11" s="9"/>
      <c r="ID11" s="9" t="s">
        <v>1286</v>
      </c>
      <c r="IF11" s="9" t="s">
        <v>67</v>
      </c>
      <c r="IG11" s="110" t="str">
        <f t="shared" si="6"/>
        <v>LB822</v>
      </c>
      <c r="IH11" s="9" t="s">
        <v>625</v>
      </c>
      <c r="II11" s="9" t="s">
        <v>626</v>
      </c>
      <c r="IJ11" s="9" t="s">
        <v>627</v>
      </c>
      <c r="IK11" s="9" t="s">
        <v>628</v>
      </c>
      <c r="IN11" s="9" t="s">
        <v>66</v>
      </c>
      <c r="IO11" s="9" t="s">
        <v>549</v>
      </c>
      <c r="IP11" t="s">
        <v>875</v>
      </c>
      <c r="IQ11" s="108" t="s">
        <v>858</v>
      </c>
      <c r="IU11" t="s">
        <v>73</v>
      </c>
      <c r="IV11" t="s">
        <v>23</v>
      </c>
      <c r="IW11" t="s">
        <v>892</v>
      </c>
      <c r="JT11" s="9"/>
      <c r="JU11" s="213"/>
      <c r="JY11" s="11"/>
      <c r="JZ11" s="10" t="s">
        <v>41</v>
      </c>
      <c r="KA11" s="216" t="str">
        <f>IF(KA6="","",$C$3)</f>
        <v/>
      </c>
      <c r="KB11" s="216" t="str">
        <f>IF(KB6="","",$C$3)</f>
        <v/>
      </c>
      <c r="KC11" s="216" t="str">
        <f>IF(KC6="","",$C$3)</f>
        <v/>
      </c>
      <c r="KD11" s="216" t="str">
        <f>IF(KD6="","",$C$3)</f>
        <v/>
      </c>
      <c r="KE11" s="216" t="str">
        <f>IF(KE6="","",$C$3)</f>
        <v/>
      </c>
      <c r="KF11" s="216" t="str">
        <f t="shared" ref="KF11:KM11" si="35">IF(KF6="","",$C$3)</f>
        <v/>
      </c>
      <c r="KG11" s="216" t="str">
        <f t="shared" si="35"/>
        <v/>
      </c>
      <c r="KH11" s="216" t="str">
        <f t="shared" si="35"/>
        <v/>
      </c>
      <c r="KI11" s="216" t="str">
        <f t="shared" si="35"/>
        <v/>
      </c>
      <c r="KJ11" s="216" t="str">
        <f t="shared" si="35"/>
        <v/>
      </c>
      <c r="KK11" s="216" t="str">
        <f t="shared" si="35"/>
        <v/>
      </c>
      <c r="KL11" s="216" t="str">
        <f t="shared" si="35"/>
        <v/>
      </c>
      <c r="KM11" s="240" t="str">
        <f t="shared" si="35"/>
        <v/>
      </c>
    </row>
    <row r="12" spans="1:299" x14ac:dyDescent="0.3">
      <c r="A12" s="54">
        <v>1</v>
      </c>
      <c r="B12" s="190"/>
      <c r="C12" s="190"/>
      <c r="D12" s="67"/>
      <c r="E12" s="190"/>
      <c r="F12" s="67"/>
      <c r="G12" s="191"/>
      <c r="H12" s="33" t="str">
        <f t="shared" si="8"/>
        <v/>
      </c>
      <c r="I12" s="67"/>
      <c r="J12" s="67"/>
      <c r="L12" s="67"/>
      <c r="M12" s="67"/>
      <c r="Z12" t="e" cm="1">
        <f t="array" ref="Z12">CONCATENATE(INDEX($CF$3:$CF$23,MATCH(AE12&amp;AH12,$BT$3:$BT$23&amp;$CC$3:$CC$23,0)),"CUSTOM")</f>
        <v>#N/A</v>
      </c>
      <c r="AA12" t="e">
        <f>INDEX(prd!$BF$5:$BF$40,MATCH(Outfitter!Z12,prd!$BD$5:$BD$40,0))</f>
        <v>#N/A</v>
      </c>
      <c r="AB12" t="e">
        <f>INDEX(prd!$BD$5:$BQ$40,MATCH(Outfitter!$Z12,prd!$BD$5:$BD$40,0),MATCH(Outfitter!$L$1,prd!$BD$5:$BQ$5,0))</f>
        <v>#N/A</v>
      </c>
      <c r="AC12" t="e">
        <f>INDEX(prd!$BG$5:$BG$40,MATCH(Outfitter!Z12,prd!$BD$5:$BD$40,0))</f>
        <v>#N/A</v>
      </c>
      <c r="AD12">
        <v>5</v>
      </c>
      <c r="AE12" s="25" t="e">
        <f t="shared" si="9"/>
        <v>#N/A</v>
      </c>
      <c r="AF12" s="138" t="e">
        <f t="shared" si="10"/>
        <v>#N/A</v>
      </c>
      <c r="AG12" s="25" t="e">
        <f t="shared" si="11"/>
        <v>#N/A</v>
      </c>
      <c r="AH12" s="25" t="str">
        <f t="shared" si="12"/>
        <v/>
      </c>
      <c r="AI12" s="25" t="str">
        <f t="shared" si="13"/>
        <v/>
      </c>
      <c r="AJ12" s="25" t="str">
        <f t="shared" si="14"/>
        <v/>
      </c>
      <c r="AK12" s="25" t="str">
        <f t="shared" si="15"/>
        <v>Cosmic Calamity</v>
      </c>
      <c r="AL12" s="25">
        <f>IF(ISERROR(IF(C12="","",MATCH(C12,$EM$4:$EM$35,0)))=TRUE,1,0)</f>
        <v>0</v>
      </c>
      <c r="AM12" s="25">
        <f>IF(ISERROR(IF(E12="","", MATCH(E12,$FL$4:$FL$10,0)))=TRUE,1,0)</f>
        <v>0</v>
      </c>
      <c r="AN12" s="25">
        <f>IF(ISERROR(IF(G12="","", MATCH(G12,$HT$4:$HT$12,0)))=TRUE,1,0)</f>
        <v>0</v>
      </c>
      <c r="AO12" s="25" t="b">
        <f t="shared" si="16"/>
        <v>0</v>
      </c>
      <c r="AP12" s="138" t="str">
        <f t="shared" si="17"/>
        <v/>
      </c>
      <c r="AQ12" s="138" t="str" cm="1">
        <f t="array" ref="AQ12">IFERROR(IF(AH12&lt;&gt; "LS",INDEX($IQ$1:$IQ$32,MATCH(AH12&amp;AK12,$IN$1:$IN$32&amp;$IO$1:$IO$32,0)), IF(AH12="LS",INDEX($IR$34:$IR$72,MATCH(AH12&amp;AK12&amp;AJ12&amp;BA12,$IN$34:$IN$72&amp;$IO$34:$IO$72&amp;$IP$34:$IP$72&amp;$IQ$34:$IQ$72,0)),"el-CRASH-O")),"")</f>
        <v/>
      </c>
      <c r="AR12" s="138" t="str" cm="1">
        <f t="array" ref="AR12">IFERROR(IF(OR(AH12="LB",AH12="LF"),INDEX($IW$3:$IW$11,MATCH(AJ12,$IV$3:$IV$11,0)),IF(AH12="LT",INDEX($IX$15:$IX$42,MATCH(AH12&amp;AK12&amp;AJ12,$IU$15:$IU$42&amp;$IV$15:$IV$42&amp;$IW$15:$IW$42,0)),IF(AND(AH12="LS", AK12="P86C"),"WM",""))),"")</f>
        <v/>
      </c>
      <c r="AS12" s="25" cm="1">
        <f t="array" ref="AS12">IFERROR(IF(AH12 ="LB",ROUND(INDEX(prd!$CG$3:$CG$35,MATCH(Outfitter!$AJ12&amp;Outfitter!$AF$24,prd!$CD$3:$CD$35&amp;prd!$CE$3:$CE$35,0))*AB12/AA12,2),0),0)</f>
        <v>0</v>
      </c>
      <c r="AT12" s="25">
        <f>IFERROR(IF(AH12="LB",SUM(#REF!,#REF!,AS12),IF(AH12="LT",SUM(#REF!),IF(AH12="LF",SUM(#REF!),IF(AH12="LS",SUM(#REF!),0)))),0)</f>
        <v>0</v>
      </c>
      <c r="AU12" s="79" t="str">
        <f t="shared" si="18"/>
        <v/>
      </c>
      <c r="AV12" s="25" t="str">
        <f>IF(AH12="LB",INDEX(Outfitter!$FX$3:$FX$13,MATCH(Outfitter!AK12,Outfitter!$FY$3:$FY$13,0)),"")</f>
        <v/>
      </c>
      <c r="AW12" s="214" t="str">
        <f t="shared" si="19"/>
        <v/>
      </c>
      <c r="AX12" s="25">
        <f t="shared" si="32"/>
        <v>0</v>
      </c>
      <c r="AY12" s="25">
        <f t="shared" si="20"/>
        <v>0</v>
      </c>
      <c r="AZ12" s="25">
        <f t="shared" si="21"/>
        <v>0</v>
      </c>
      <c r="BA12" s="188" t="str">
        <f t="shared" si="22"/>
        <v>3F</v>
      </c>
      <c r="BB12" s="79" t="str">
        <f t="shared" si="23"/>
        <v xml:space="preserve"> Badge</v>
      </c>
      <c r="BC12" s="79"/>
      <c r="BD12" s="79"/>
      <c r="BE12" s="187" t="e">
        <f t="shared" si="24"/>
        <v>#N/A</v>
      </c>
      <c r="BF12" s="25">
        <f t="shared" si="25"/>
        <v>0</v>
      </c>
      <c r="BG12" s="25">
        <f t="shared" si="26"/>
        <v>0</v>
      </c>
      <c r="BH12" s="25">
        <f t="shared" si="27"/>
        <v>0</v>
      </c>
      <c r="BI12" s="25">
        <f t="shared" si="28"/>
        <v>0</v>
      </c>
      <c r="BJ12" s="9">
        <f t="shared" si="29"/>
        <v>0</v>
      </c>
      <c r="BK12" s="9">
        <f t="shared" si="30"/>
        <v>0</v>
      </c>
      <c r="BL12" t="str">
        <f t="shared" si="31"/>
        <v/>
      </c>
      <c r="BS12" s="12" t="s">
        <v>224</v>
      </c>
      <c r="BT12" s="12" t="s">
        <v>18</v>
      </c>
      <c r="CB12" s="12" t="s">
        <v>224</v>
      </c>
      <c r="CC12" s="12" t="s">
        <v>66</v>
      </c>
      <c r="CF12" s="90" t="s">
        <v>224</v>
      </c>
      <c r="CG12" t="s">
        <v>258</v>
      </c>
      <c r="CH12" t="s">
        <v>258</v>
      </c>
      <c r="CI12" t="s">
        <v>258</v>
      </c>
      <c r="CJ12" t="s">
        <v>250</v>
      </c>
      <c r="CK12" t="s">
        <v>155</v>
      </c>
      <c r="CN12" s="15" t="s">
        <v>290</v>
      </c>
      <c r="CO12" s="92" t="s">
        <v>291</v>
      </c>
      <c r="CP12" s="14" t="s">
        <v>286</v>
      </c>
      <c r="CQ12" s="14" t="s">
        <v>76</v>
      </c>
      <c r="CR12" s="6" t="str">
        <f t="shared" si="0"/>
        <v>K2: Brown Burst</v>
      </c>
      <c r="CT12" s="3" t="str">
        <f t="shared" si="1"/>
        <v>Exotic IO Veneer</v>
      </c>
      <c r="CU12" s="12" t="s">
        <v>15</v>
      </c>
      <c r="CV12" s="13" t="s">
        <v>272</v>
      </c>
      <c r="CW12" s="129" t="str">
        <f t="shared" si="2"/>
        <v>Z6: I/O Birdseye Maple</v>
      </c>
      <c r="DA12" s="135"/>
      <c r="DB12" s="135"/>
      <c r="DC12" s="135"/>
      <c r="DF12" s="14" t="s">
        <v>401</v>
      </c>
      <c r="DG12" s="17" t="s">
        <v>402</v>
      </c>
      <c r="DJ12" s="12" t="s">
        <v>15</v>
      </c>
      <c r="DK12" s="12" t="s">
        <v>52</v>
      </c>
      <c r="DL12" s="12" t="s">
        <v>413</v>
      </c>
      <c r="DM12" s="14" t="s">
        <v>414</v>
      </c>
      <c r="DN12" s="129" t="s">
        <v>1272</v>
      </c>
      <c r="DR12" s="12" t="s">
        <v>18</v>
      </c>
      <c r="DS12" s="12" t="s">
        <v>52</v>
      </c>
      <c r="DT12" s="12" t="s">
        <v>413</v>
      </c>
      <c r="DU12" s="12" t="s">
        <v>397</v>
      </c>
      <c r="DV12" s="95"/>
      <c r="DX12" s="14" t="s">
        <v>70</v>
      </c>
      <c r="DY12" s="12" t="s">
        <v>139</v>
      </c>
      <c r="DZ12" s="12" t="s">
        <v>457</v>
      </c>
      <c r="EC12" s="14" t="s">
        <v>15</v>
      </c>
      <c r="ED12" s="12" t="s">
        <v>66</v>
      </c>
      <c r="EE12" s="12" t="s">
        <v>71</v>
      </c>
      <c r="EF12" s="129" t="s">
        <v>499</v>
      </c>
      <c r="EY12" s="14" t="s">
        <v>25</v>
      </c>
      <c r="EZ12" s="91" t="s">
        <v>528</v>
      </c>
      <c r="FC12" s="14" t="s">
        <v>83</v>
      </c>
      <c r="FD12" s="14" t="s">
        <v>22</v>
      </c>
      <c r="FE12" s="129" t="s">
        <v>519</v>
      </c>
      <c r="FX12" s="33"/>
      <c r="FZ12" s="4"/>
      <c r="GD12" s="14" t="s">
        <v>518</v>
      </c>
      <c r="GE12" s="12" t="s">
        <v>537</v>
      </c>
      <c r="GF12" s="132" t="str">
        <f t="shared" si="3"/>
        <v>Ludwig 'Diamond' Bracket</v>
      </c>
      <c r="GG12" s="12"/>
      <c r="GK12" s="17"/>
      <c r="GN12" s="12" t="s">
        <v>561</v>
      </c>
      <c r="GO12" s="14" t="s">
        <v>22</v>
      </c>
      <c r="GP12" s="12" t="s">
        <v>556</v>
      </c>
      <c r="GQ12" s="133" t="str">
        <f t="shared" si="34"/>
        <v>No Legs or Drilling</v>
      </c>
      <c r="GR12" s="12"/>
      <c r="GY12" s="12" t="s">
        <v>144</v>
      </c>
      <c r="GZ12" s="14" t="s">
        <v>16</v>
      </c>
      <c r="HA12" s="12" t="s">
        <v>417</v>
      </c>
      <c r="HB12" s="131" t="str">
        <f t="shared" si="33"/>
        <v>Vibraband w/Ludwig 9.5mm</v>
      </c>
      <c r="HC12" s="12"/>
      <c r="HD12" s="12"/>
      <c r="HK12" s="62" t="s">
        <v>194</v>
      </c>
      <c r="HL12" s="62" t="s">
        <v>570</v>
      </c>
      <c r="HM12" s="129" t="s">
        <v>571</v>
      </c>
      <c r="HP12" s="9"/>
      <c r="ID12" s="9" t="s">
        <v>1287</v>
      </c>
      <c r="IF12" s="9" t="s">
        <v>71</v>
      </c>
      <c r="IG12" s="110" t="str">
        <f t="shared" si="6"/>
        <v>LB842</v>
      </c>
      <c r="IH12" s="9" t="s">
        <v>629</v>
      </c>
      <c r="II12" s="9" t="s">
        <v>630</v>
      </c>
      <c r="IJ12" s="9" t="s">
        <v>631</v>
      </c>
      <c r="IK12" s="9" t="s">
        <v>632</v>
      </c>
      <c r="IN12" s="9"/>
      <c r="IO12" s="9"/>
      <c r="IP12" s="3"/>
      <c r="IQ12" s="108"/>
      <c r="JT12" s="9"/>
      <c r="JU12" s="213"/>
      <c r="JY12" s="11"/>
      <c r="JZ12" s="10" t="s">
        <v>1327</v>
      </c>
      <c r="KA12" s="216" t="str" cm="1">
        <f t="array" ref="KA12">IFERROR(INDEX($AG$1:$AG$55,MATCH(KA$6&amp;$JZ12,$Z$1:$Z$55&amp;$AE$1:$AE$55,0)),"")</f>
        <v/>
      </c>
      <c r="KB12" s="216" t="str" cm="1">
        <f t="array" ref="KB12">IFERROR(INDEX($AG$1:$AG$55,MATCH(KB$6&amp;$JZ12,$Z$1:$Z$55&amp;$AE$1:$AE$55,0)),"")</f>
        <v/>
      </c>
      <c r="KC12" s="216" t="str" cm="1">
        <f t="array" ref="KC12">IFERROR(INDEX($AG$1:$AG$55,MATCH(KC$6&amp;$JZ12,$Z$1:$Z$55&amp;$AE$1:$AE$55,0)),"")</f>
        <v/>
      </c>
      <c r="KD12" s="216" t="str" cm="1">
        <f t="array" ref="KD12">IFERROR(INDEX($AG$1:$AG$55,MATCH(KD$6&amp;$JZ12,$Z$1:$Z$55&amp;$AE$1:$AE$55,0)),"")</f>
        <v/>
      </c>
      <c r="KE12" s="216" t="str" cm="1">
        <f t="array" ref="KE12">IFERROR(INDEX($AG$1:$AG$55,MATCH(KE$6&amp;$JZ12,$Z$1:$Z$55&amp;$AE$1:$AE$55,0)),"")</f>
        <v/>
      </c>
      <c r="KF12" s="216" t="str" cm="1">
        <f t="array" ref="KF12">IFERROR(INDEX($AG$1:$AG$55,MATCH(KF$6&amp;$JZ12,$Z$1:$Z$55&amp;$AE$1:$AE$55,0)),"")</f>
        <v/>
      </c>
      <c r="KG12" s="216" t="str" cm="1">
        <f t="array" ref="KG12">IFERROR(INDEX($AG$1:$AG$55,MATCH(KG$6&amp;$JZ12,$Z$1:$Z$55&amp;$AE$1:$AE$55,0)),"")</f>
        <v/>
      </c>
      <c r="KH12" s="216" t="str" cm="1">
        <f t="array" ref="KH12">IFERROR(INDEX($AG$1:$AG$55,MATCH(KH$6&amp;$JZ12,$Z$1:$Z$55&amp;$AE$1:$AE$55,0)),"")</f>
        <v/>
      </c>
      <c r="KI12" s="216" t="str" cm="1">
        <f t="array" ref="KI12">IFERROR(INDEX($AG$1:$AG$55,MATCH(KI$6&amp;$JZ12,$Z$1:$Z$55&amp;$AE$1:$AE$55,0)),"")</f>
        <v/>
      </c>
      <c r="KJ12" s="216" t="str" cm="1">
        <f t="array" ref="KJ12">IFERROR(INDEX($AG$1:$AG$55,MATCH(KJ$6&amp;$JZ12,$Z$1:$Z$55&amp;$AE$1:$AE$55,0)),"")</f>
        <v/>
      </c>
      <c r="KK12" s="216" t="str" cm="1">
        <f t="array" ref="KK12">IFERROR(INDEX($AG$1:$AG$55,MATCH(KK$6&amp;$JZ12,$Z$1:$Z$55&amp;$AE$1:$AE$55,0)),"")</f>
        <v/>
      </c>
      <c r="KL12" s="216" t="str" cm="1">
        <f t="array" ref="KL12">IFERROR(INDEX($AG$1:$AG$55,MATCH(KL$6&amp;$JZ12,$Z$1:$Z$55&amp;$AE$1:$AE$55,0)),"")</f>
        <v/>
      </c>
      <c r="KM12" s="224" t="str" cm="1">
        <f t="array" ref="KM12">IFERROR(INDEX($AG$1:$AG$55,MATCH(KM$6&amp;$JZ12,$Z$1:$Z$55&amp;$AE$1:$AE$55,0)),"")</f>
        <v/>
      </c>
    </row>
    <row r="13" spans="1:299" x14ac:dyDescent="0.3">
      <c r="A13" s="54">
        <v>1</v>
      </c>
      <c r="B13" s="190"/>
      <c r="C13" s="190"/>
      <c r="D13" s="67"/>
      <c r="E13" s="190"/>
      <c r="F13" s="67"/>
      <c r="G13" s="191"/>
      <c r="H13" s="33" t="str">
        <f t="shared" si="8"/>
        <v/>
      </c>
      <c r="I13" s="67"/>
      <c r="J13" s="67"/>
      <c r="L13" s="67"/>
      <c r="M13" s="67"/>
      <c r="Z13" t="e" cm="1">
        <f t="array" ref="Z13">CONCATENATE(INDEX($CF$3:$CF$23,MATCH(AE13&amp;AH13,$BT$3:$BT$23&amp;$CC$3:$CC$23,0)),"CUSTOM")</f>
        <v>#N/A</v>
      </c>
      <c r="AA13" t="e">
        <f>INDEX(prd!$BF$5:$BF$40,MATCH(Outfitter!Z13,prd!$BD$5:$BD$40,0))</f>
        <v>#N/A</v>
      </c>
      <c r="AB13" t="e">
        <f>INDEX(prd!$BD$5:$BQ$40,MATCH(Outfitter!$Z13,prd!$BD$5:$BD$40,0),MATCH(Outfitter!$L$1,prd!$BD$5:$BQ$5,0))</f>
        <v>#N/A</v>
      </c>
      <c r="AC13" t="e">
        <f>INDEX(prd!$BG$5:$BG$40,MATCH(Outfitter!Z13,prd!$BD$5:$BD$40,0))</f>
        <v>#N/A</v>
      </c>
      <c r="AD13">
        <v>6</v>
      </c>
      <c r="AE13" s="25" t="e">
        <f t="shared" si="9"/>
        <v>#N/A</v>
      </c>
      <c r="AF13" s="138" t="e">
        <f t="shared" si="10"/>
        <v>#N/A</v>
      </c>
      <c r="AG13" s="25" t="e">
        <f t="shared" si="11"/>
        <v>#N/A</v>
      </c>
      <c r="AH13" s="25" t="str">
        <f t="shared" si="12"/>
        <v/>
      </c>
      <c r="AI13" s="25" t="str">
        <f t="shared" si="13"/>
        <v/>
      </c>
      <c r="AJ13" s="25" t="str">
        <f t="shared" si="14"/>
        <v/>
      </c>
      <c r="AK13" s="25" t="str">
        <f t="shared" si="15"/>
        <v>Cosmic Calamity</v>
      </c>
      <c r="AL13" s="25">
        <f>IF(ISERROR(IF(C13="","",MATCH(C13,$EN$4:$EN$35,0)))=TRUE,1,0)</f>
        <v>0</v>
      </c>
      <c r="AM13" s="25">
        <f>IF(ISERROR(IF(E13="","", MATCH(E13,$FM$4:$FM$10,0)))=TRUE,1,0)</f>
        <v>0</v>
      </c>
      <c r="AN13" s="25">
        <f>IF(ISERROR(IF(G13="","", MATCH(G13,$HU$4:$HU$12,0)))=TRUE,1,0)</f>
        <v>0</v>
      </c>
      <c r="AO13" s="25" t="b">
        <f t="shared" si="16"/>
        <v>0</v>
      </c>
      <c r="AP13" s="138" t="str">
        <f t="shared" si="17"/>
        <v/>
      </c>
      <c r="AQ13" s="138" t="str" cm="1">
        <f t="array" ref="AQ13">IFERROR(IF(AH13&lt;&gt; "LS",INDEX($IQ$1:$IQ$32,MATCH(AH13&amp;AK13,$IN$1:$IN$32&amp;$IO$1:$IO$32,0)), IF(AH13="LS",INDEX($IR$34:$IR$72,MATCH(AH13&amp;AK13&amp;AJ13&amp;BA13,$IN$34:$IN$72&amp;$IO$34:$IO$72&amp;$IP$34:$IP$72&amp;$IQ$34:$IQ$72,0)),"el-CRASH-O")),"")</f>
        <v/>
      </c>
      <c r="AR13" s="138" t="str" cm="1">
        <f t="array" ref="AR13">IFERROR(IF(OR(AH13="LB",AH13="LF"),INDEX($IW$3:$IW$11,MATCH(AJ13,$IV$3:$IV$11,0)),IF(AH13="LT",INDEX($IX$15:$IX$42,MATCH(AH13&amp;AK13&amp;AJ13,$IU$15:$IU$42&amp;$IV$15:$IV$42&amp;$IW$15:$IW$42,0)),IF(AND(AH13="LS", AK13="P86C"),"WM",""))),"")</f>
        <v/>
      </c>
      <c r="AS13" s="25" cm="1">
        <f t="array" ref="AS13">IFERROR(IF(AH13 ="LB",ROUND(INDEX(prd!$CG$3:$CG$35,MATCH(Outfitter!$AJ13&amp;Outfitter!$AF$24,prd!$CD$3:$CD$35&amp;prd!$CE$3:$CE$35,0))*AB13/AA13,2),0),0)</f>
        <v>0</v>
      </c>
      <c r="AT13" s="25">
        <f>IFERROR(IF(AH13="LB",SUM(#REF!,#REF!,AS13),IF(AH13="LT",SUM(#REF!),IF(AH13="LF",SUM(#REF!),IF(AH13="LS",SUM(#REF!),0)))),0)</f>
        <v>0</v>
      </c>
      <c r="AU13" s="79" t="str">
        <f t="shared" si="18"/>
        <v/>
      </c>
      <c r="AV13" s="25" t="str">
        <f>IF(AH13="LB",INDEX(Outfitter!$FX$3:$FX$13,MATCH(Outfitter!AK13,Outfitter!$FY$3:$FY$13,0)),"")</f>
        <v/>
      </c>
      <c r="AW13" s="214" t="str">
        <f t="shared" si="19"/>
        <v/>
      </c>
      <c r="AX13" s="25">
        <f t="shared" si="32"/>
        <v>0</v>
      </c>
      <c r="AY13" s="25">
        <f t="shared" si="20"/>
        <v>0</v>
      </c>
      <c r="AZ13" s="25">
        <f t="shared" si="21"/>
        <v>0</v>
      </c>
      <c r="BA13" s="188" t="str">
        <f t="shared" si="22"/>
        <v>3F</v>
      </c>
      <c r="BB13" s="79" t="str">
        <f t="shared" si="23"/>
        <v xml:space="preserve"> Badge</v>
      </c>
      <c r="BC13" s="79"/>
      <c r="BD13" s="79"/>
      <c r="BE13" s="187" t="e">
        <f t="shared" si="24"/>
        <v>#N/A</v>
      </c>
      <c r="BF13" s="25">
        <f t="shared" si="25"/>
        <v>0</v>
      </c>
      <c r="BG13" s="25">
        <f t="shared" si="26"/>
        <v>0</v>
      </c>
      <c r="BH13" s="25">
        <f t="shared" si="27"/>
        <v>0</v>
      </c>
      <c r="BI13" s="25">
        <f t="shared" si="28"/>
        <v>0</v>
      </c>
      <c r="BJ13" s="9">
        <f t="shared" si="29"/>
        <v>0</v>
      </c>
      <c r="BK13" s="9">
        <f t="shared" si="30"/>
        <v>0</v>
      </c>
      <c r="BL13" t="str">
        <f t="shared" si="31"/>
        <v/>
      </c>
      <c r="BS13" s="12" t="s">
        <v>225</v>
      </c>
      <c r="BT13" s="12" t="s">
        <v>18</v>
      </c>
      <c r="CB13" s="12" t="s">
        <v>225</v>
      </c>
      <c r="CC13" s="12" t="s">
        <v>73</v>
      </c>
      <c r="CF13" s="90" t="s">
        <v>225</v>
      </c>
      <c r="CG13" t="s">
        <v>259</v>
      </c>
      <c r="CH13" t="s">
        <v>259</v>
      </c>
      <c r="CI13" t="s">
        <v>259</v>
      </c>
      <c r="CJ13" t="s">
        <v>250</v>
      </c>
      <c r="CK13" t="s">
        <v>167</v>
      </c>
      <c r="CN13" s="15" t="s">
        <v>292</v>
      </c>
      <c r="CO13" s="92" t="s">
        <v>293</v>
      </c>
      <c r="CP13" s="14" t="s">
        <v>286</v>
      </c>
      <c r="CQ13" s="14" t="s">
        <v>76</v>
      </c>
      <c r="CR13" s="6" t="str">
        <f t="shared" si="0"/>
        <v>BN: Burnt Natural (burst)</v>
      </c>
      <c r="CT13" s="3" t="str">
        <f t="shared" si="1"/>
        <v>Exotic Veneer</v>
      </c>
      <c r="CU13" s="12" t="s">
        <v>15</v>
      </c>
      <c r="CV13" s="13" t="s">
        <v>279</v>
      </c>
      <c r="CW13" s="129" t="str">
        <f t="shared" si="2"/>
        <v>50: Birdseye Maple</v>
      </c>
      <c r="DA13" s="9" t="s">
        <v>50</v>
      </c>
      <c r="DB13" s="9" t="s">
        <v>200</v>
      </c>
      <c r="DF13" s="14" t="s">
        <v>404</v>
      </c>
      <c r="DG13" s="17" t="s">
        <v>434</v>
      </c>
      <c r="DJ13" s="12" t="s">
        <v>15</v>
      </c>
      <c r="DK13" s="12" t="s">
        <v>24</v>
      </c>
      <c r="DL13" s="12" t="s">
        <v>417</v>
      </c>
      <c r="DM13" s="14" t="s">
        <v>399</v>
      </c>
      <c r="DN13" s="129" t="s">
        <v>1330</v>
      </c>
      <c r="DR13" s="12" t="s">
        <v>15</v>
      </c>
      <c r="DS13" s="12" t="s">
        <v>429</v>
      </c>
      <c r="DT13" s="12" t="s">
        <v>413</v>
      </c>
      <c r="DU13" s="12" t="s">
        <v>399</v>
      </c>
      <c r="DV13" s="95"/>
      <c r="DX13" s="14" t="s">
        <v>70</v>
      </c>
      <c r="DY13" s="12" t="s">
        <v>140</v>
      </c>
      <c r="DZ13" s="12" t="s">
        <v>458</v>
      </c>
      <c r="EC13" s="14" t="s">
        <v>15</v>
      </c>
      <c r="ED13" s="12" t="s">
        <v>66</v>
      </c>
      <c r="EE13" s="12" t="s">
        <v>74</v>
      </c>
      <c r="EF13" s="129" t="s">
        <v>500</v>
      </c>
      <c r="EY13" s="14" t="s">
        <v>185</v>
      </c>
      <c r="EZ13" s="91" t="s">
        <v>529</v>
      </c>
      <c r="FC13" s="14" t="s">
        <v>83</v>
      </c>
      <c r="FD13" s="14" t="s">
        <v>518</v>
      </c>
      <c r="FE13" s="129" t="s">
        <v>1337</v>
      </c>
      <c r="GD13" s="14" t="s">
        <v>518</v>
      </c>
      <c r="GE13" s="9" t="s">
        <v>539</v>
      </c>
      <c r="GF13" s="132" t="str">
        <f t="shared" si="3"/>
        <v>Rocker Single 9.5mm</v>
      </c>
      <c r="GG13" s="9"/>
      <c r="GN13" s="12" t="s">
        <v>561</v>
      </c>
      <c r="GO13" s="14" t="s">
        <v>22</v>
      </c>
      <c r="GP13" s="12" t="s">
        <v>558</v>
      </c>
      <c r="GQ13" s="133" t="str">
        <f t="shared" si="34"/>
        <v>Triad Brkts/Legs 12mm</v>
      </c>
      <c r="GR13" s="12"/>
      <c r="GY13" s="12" t="s">
        <v>144</v>
      </c>
      <c r="GZ13" s="14" t="s">
        <v>16</v>
      </c>
      <c r="HA13" s="12" t="s">
        <v>424</v>
      </c>
      <c r="HB13" s="131" t="str">
        <f t="shared" si="33"/>
        <v>Triad Bracket 12mm</v>
      </c>
      <c r="HC13" s="12"/>
      <c r="HD13" s="12"/>
      <c r="HK13" s="62" t="s">
        <v>203</v>
      </c>
      <c r="HL13" s="62" t="s">
        <v>570</v>
      </c>
      <c r="HM13" s="129" t="s">
        <v>571</v>
      </c>
      <c r="ID13" s="9" t="s">
        <v>925</v>
      </c>
      <c r="IF13" s="9" t="s">
        <v>74</v>
      </c>
      <c r="IG13" s="110" t="str">
        <f t="shared" si="6"/>
        <v>LB862</v>
      </c>
      <c r="IH13" s="9" t="s">
        <v>633</v>
      </c>
      <c r="II13" s="9" t="s">
        <v>634</v>
      </c>
      <c r="IJ13" s="9" t="s">
        <v>635</v>
      </c>
      <c r="IK13" s="9" t="s">
        <v>636</v>
      </c>
      <c r="IN13" s="9"/>
      <c r="IO13" s="9"/>
      <c r="IQ13" s="33"/>
      <c r="JT13" s="9"/>
      <c r="JU13" s="213"/>
      <c r="JY13" s="11"/>
      <c r="JZ13" s="10" t="s">
        <v>1324</v>
      </c>
      <c r="KA13" s="216" t="str" cm="1">
        <f t="array" ref="KA13">IFERROR(INDEX($AG$1:$AG$55,MATCH(KA$6&amp;$JZ13,$Z$1:$Z$55&amp;$AE$1:$AE$55,0)),"")</f>
        <v/>
      </c>
      <c r="KB13" s="216" t="str" cm="1">
        <f t="array" ref="KB13">IFERROR(INDEX($AG$1:$AG$55,MATCH(KB$6&amp;$JZ13,$Z$1:$Z$55&amp;$AE$1:$AE$55,0)),"")</f>
        <v/>
      </c>
      <c r="KC13" s="216" t="str" cm="1">
        <f t="array" ref="KC13">IFERROR(INDEX($AG$1:$AG$55,MATCH(KC$6&amp;$JZ13,$Z$1:$Z$55&amp;$AE$1:$AE$55,0)),"")</f>
        <v/>
      </c>
      <c r="KD13" s="216" t="str" cm="1">
        <f t="array" ref="KD13">IFERROR(INDEX($AG$1:$AG$55,MATCH(KD$6&amp;$JZ13,$Z$1:$Z$55&amp;$AE$1:$AE$55,0)),"")</f>
        <v/>
      </c>
      <c r="KE13" s="216" t="str" cm="1">
        <f t="array" ref="KE13">IFERROR(INDEX($AG$1:$AG$55,MATCH(KE$6&amp;$JZ13,$Z$1:$Z$55&amp;$AE$1:$AE$55,0)),"")</f>
        <v/>
      </c>
      <c r="KF13" s="216" t="str" cm="1">
        <f t="array" ref="KF13">IFERROR(INDEX($AG$1:$AG$55,MATCH(KF$6&amp;$JZ13,$Z$1:$Z$55&amp;$AE$1:$AE$55,0)),"")</f>
        <v/>
      </c>
      <c r="KG13" s="216" t="str" cm="1">
        <f t="array" ref="KG13">IFERROR(INDEX($AG$1:$AG$55,MATCH(KG$6&amp;$JZ13,$Z$1:$Z$55&amp;$AE$1:$AE$55,0)),"")</f>
        <v/>
      </c>
      <c r="KH13" s="216" t="str" cm="1">
        <f t="array" ref="KH13">IFERROR(INDEX($AG$1:$AG$55,MATCH(KH$6&amp;$JZ13,$Z$1:$Z$55&amp;$AE$1:$AE$55,0)),"")</f>
        <v/>
      </c>
      <c r="KI13" s="216" t="str" cm="1">
        <f t="array" ref="KI13">IFERROR(INDEX($AG$1:$AG$55,MATCH(KI$6&amp;$JZ13,$Z$1:$Z$55&amp;$AE$1:$AE$55,0)),"")</f>
        <v/>
      </c>
      <c r="KJ13" s="216" t="str" cm="1">
        <f t="array" ref="KJ13">IFERROR(INDEX($AG$1:$AG$55,MATCH(KJ$6&amp;$JZ13,$Z$1:$Z$55&amp;$AE$1:$AE$55,0)),"")</f>
        <v/>
      </c>
      <c r="KK13" s="216" t="str" cm="1">
        <f t="array" ref="KK13">IFERROR(INDEX($AG$1:$AG$55,MATCH(KK$6&amp;$JZ13,$Z$1:$Z$55&amp;$AE$1:$AE$55,0)),"")</f>
        <v/>
      </c>
      <c r="KL13" s="216" t="str" cm="1">
        <f t="array" ref="KL13">IFERROR(INDEX($AG$1:$AG$55,MATCH(KL$6&amp;$JZ13,$Z$1:$Z$55&amp;$AE$1:$AE$55,0)),"")</f>
        <v/>
      </c>
      <c r="KM13" s="224" t="str" cm="1">
        <f t="array" ref="KM13">IFERROR(INDEX($AG$1:$AG$55,MATCH(KM$6&amp;$JZ13,$Z$1:$Z$55&amp;$AE$1:$AE$55,0)),"")</f>
        <v/>
      </c>
    </row>
    <row r="14" spans="1:299" x14ac:dyDescent="0.3">
      <c r="A14" s="54">
        <v>1</v>
      </c>
      <c r="B14" s="190"/>
      <c r="C14" s="190"/>
      <c r="D14" s="67"/>
      <c r="E14" s="190"/>
      <c r="F14" s="67"/>
      <c r="G14" s="191"/>
      <c r="H14" s="33" t="str">
        <f t="shared" si="8"/>
        <v/>
      </c>
      <c r="I14" s="67"/>
      <c r="J14" s="67"/>
      <c r="L14" s="67"/>
      <c r="M14" s="67"/>
      <c r="Z14" t="e" cm="1">
        <f t="array" ref="Z14">CONCATENATE(INDEX($CF$3:$CF$23,MATCH(AE14&amp;AH14,$BT$3:$BT$23&amp;$CC$3:$CC$23,0)),"CUSTOM")</f>
        <v>#N/A</v>
      </c>
      <c r="AA14" t="e">
        <f>INDEX(prd!$BF$5:$BF$40,MATCH(Outfitter!Z14,prd!$BD$5:$BD$40,0))</f>
        <v>#N/A</v>
      </c>
      <c r="AB14" t="e">
        <f>INDEX(prd!$BD$5:$BQ$40,MATCH(Outfitter!$Z14,prd!$BD$5:$BD$40,0),MATCH(Outfitter!$L$1,prd!$BD$5:$BQ$5,0))</f>
        <v>#N/A</v>
      </c>
      <c r="AC14" t="e">
        <f>INDEX(prd!$BG$5:$BG$40,MATCH(Outfitter!Z14,prd!$BD$5:$BD$40,0))</f>
        <v>#N/A</v>
      </c>
      <c r="AD14">
        <v>7</v>
      </c>
      <c r="AE14" s="25" t="e">
        <f t="shared" si="9"/>
        <v>#N/A</v>
      </c>
      <c r="AF14" s="138" t="e">
        <f t="shared" si="10"/>
        <v>#N/A</v>
      </c>
      <c r="AG14" s="25" t="e">
        <f t="shared" si="11"/>
        <v>#N/A</v>
      </c>
      <c r="AH14" s="25" t="str">
        <f t="shared" si="12"/>
        <v/>
      </c>
      <c r="AI14" s="25" t="str">
        <f t="shared" si="13"/>
        <v/>
      </c>
      <c r="AJ14" s="25" t="str">
        <f t="shared" si="14"/>
        <v/>
      </c>
      <c r="AK14" s="25" t="str">
        <f t="shared" si="15"/>
        <v>Cosmic Calamity</v>
      </c>
      <c r="AL14" s="25">
        <f>IF(ISERROR(IF(C14="","",MATCH(C14,$EO$4:$EO$35,0)))=TRUE,1,0)</f>
        <v>0</v>
      </c>
      <c r="AM14" s="25">
        <f>IF(ISERROR(IF(E14="","", MATCH(E14,$FN$4:$FN$10,0)))=TRUE,1,0)</f>
        <v>0</v>
      </c>
      <c r="AN14" s="25">
        <f>IF(ISERROR(IF(G14="","", MATCH(G14,$HV$4:$HV$12,0)))=TRUE,1,0)</f>
        <v>0</v>
      </c>
      <c r="AO14" s="25" t="b">
        <f t="shared" si="16"/>
        <v>0</v>
      </c>
      <c r="AP14" s="138" t="str">
        <f t="shared" si="17"/>
        <v/>
      </c>
      <c r="AQ14" s="138" t="str" cm="1">
        <f t="array" ref="AQ14">IFERROR(IF(AH14&lt;&gt; "LS",INDEX($IQ$1:$IQ$32,MATCH(AH14&amp;AK14,$IN$1:$IN$32&amp;$IO$1:$IO$32,0)), IF(AH14="LS",INDEX($IR$34:$IR$72,MATCH(AH14&amp;AK14&amp;AJ14&amp;BA14,$IN$34:$IN$72&amp;$IO$34:$IO$72&amp;$IP$34:$IP$72&amp;$IQ$34:$IQ$72,0)),"el-CRASH-O")),"")</f>
        <v/>
      </c>
      <c r="AR14" s="138" t="str" cm="1">
        <f t="array" ref="AR14">IFERROR(IF(OR(AH14="LB",AH14="LF"),INDEX($IW$3:$IW$11,MATCH(AJ14,$IV$3:$IV$11,0)),IF(AH14="LT",INDEX($IX$15:$IX$42,MATCH(AH14&amp;AK14&amp;AJ14,$IU$15:$IU$42&amp;$IV$15:$IV$42&amp;$IW$15:$IW$42,0)),IF(AND(AH14="LS", AK14="P86C"),"WM",""))),"")</f>
        <v/>
      </c>
      <c r="AS14" s="25" cm="1">
        <f t="array" ref="AS14">IFERROR(IF(AH14 ="LB",ROUND(INDEX(prd!$CG$3:$CG$35,MATCH(Outfitter!$AJ14&amp;Outfitter!$AF$24,prd!$CD$3:$CD$35&amp;prd!$CE$3:$CE$35,0))*AB14/AA14,2),0),0)</f>
        <v>0</v>
      </c>
      <c r="AT14" s="25">
        <f>IFERROR(IF(AH14="LB",SUM(#REF!,#REF!,AS14),IF(AH14="LT",SUM(#REF!),IF(AH14="LF",SUM(#REF!),IF(AH14="LS",SUM(#REF!),0)))),0)</f>
        <v>0</v>
      </c>
      <c r="AU14" s="79" t="str">
        <f t="shared" si="18"/>
        <v/>
      </c>
      <c r="AV14" s="25" t="str">
        <f>IF(AH14="LB",INDEX(Outfitter!$FX$3:$FX$13,MATCH(Outfitter!AK14,Outfitter!$FY$3:$FY$13,0)),"")</f>
        <v/>
      </c>
      <c r="AW14" s="214" t="str">
        <f t="shared" si="19"/>
        <v/>
      </c>
      <c r="AX14" s="25">
        <f t="shared" si="32"/>
        <v>0</v>
      </c>
      <c r="AY14" s="25">
        <f t="shared" si="20"/>
        <v>0</v>
      </c>
      <c r="AZ14" s="25">
        <f t="shared" si="21"/>
        <v>0</v>
      </c>
      <c r="BA14" s="188" t="str">
        <f t="shared" si="22"/>
        <v>3F</v>
      </c>
      <c r="BB14" s="79" t="str">
        <f t="shared" si="23"/>
        <v xml:space="preserve"> Badge</v>
      </c>
      <c r="BC14" s="79"/>
      <c r="BD14" s="79"/>
      <c r="BE14" s="187" t="e">
        <f t="shared" si="24"/>
        <v>#N/A</v>
      </c>
      <c r="BF14" s="25">
        <f t="shared" si="25"/>
        <v>0</v>
      </c>
      <c r="BG14" s="25">
        <f t="shared" si="26"/>
        <v>0</v>
      </c>
      <c r="BH14" s="25">
        <f t="shared" si="27"/>
        <v>0</v>
      </c>
      <c r="BI14" s="25">
        <f t="shared" si="28"/>
        <v>0</v>
      </c>
      <c r="BJ14" s="9">
        <f t="shared" si="29"/>
        <v>0</v>
      </c>
      <c r="BK14" s="9">
        <f t="shared" si="30"/>
        <v>0</v>
      </c>
      <c r="BL14" t="str">
        <f t="shared" si="31"/>
        <v/>
      </c>
      <c r="BS14" s="12" t="s">
        <v>226</v>
      </c>
      <c r="BT14" s="12" t="s">
        <v>18</v>
      </c>
      <c r="CB14" s="12" t="s">
        <v>226</v>
      </c>
      <c r="CC14" s="12" t="s">
        <v>24</v>
      </c>
      <c r="CF14" s="90" t="s">
        <v>226</v>
      </c>
      <c r="CG14" t="s">
        <v>260</v>
      </c>
      <c r="CH14" t="s">
        <v>260</v>
      </c>
      <c r="CI14" t="s">
        <v>260</v>
      </c>
      <c r="CJ14" t="s">
        <v>250</v>
      </c>
      <c r="CK14" t="s">
        <v>161</v>
      </c>
      <c r="CN14" s="15" t="s">
        <v>294</v>
      </c>
      <c r="CO14" s="92" t="s">
        <v>295</v>
      </c>
      <c r="CP14" s="14" t="s">
        <v>286</v>
      </c>
      <c r="CQ14" s="14" t="s">
        <v>76</v>
      </c>
      <c r="CR14" s="6" t="str">
        <f t="shared" si="0"/>
        <v>0Y: Charcoal Shadow</v>
      </c>
      <c r="CT14" s="3" t="str">
        <f t="shared" si="1"/>
        <v>Exotic Veneer</v>
      </c>
      <c r="CU14" s="12" t="s">
        <v>18</v>
      </c>
      <c r="CV14" s="13" t="s">
        <v>279</v>
      </c>
      <c r="CW14" s="129" t="str">
        <f t="shared" si="2"/>
        <v>50: Birdseye Maple</v>
      </c>
      <c r="DA14" s="9" t="s">
        <v>15</v>
      </c>
      <c r="DB14" s="9" t="s">
        <v>43</v>
      </c>
      <c r="DC14" t="s">
        <v>1080</v>
      </c>
      <c r="DF14" s="40" t="s">
        <v>420</v>
      </c>
      <c r="DG14" s="76" t="s">
        <v>432</v>
      </c>
      <c r="DJ14" s="12" t="s">
        <v>15</v>
      </c>
      <c r="DK14" s="12" t="s">
        <v>24</v>
      </c>
      <c r="DL14" s="12" t="s">
        <v>417</v>
      </c>
      <c r="DM14" s="14" t="s">
        <v>394</v>
      </c>
      <c r="DN14" s="129" t="s">
        <v>199</v>
      </c>
      <c r="DR14" s="12" t="s">
        <v>16</v>
      </c>
      <c r="DS14" s="12" t="s">
        <v>429</v>
      </c>
      <c r="DT14" s="12" t="s">
        <v>413</v>
      </c>
      <c r="DU14" s="12" t="s">
        <v>397</v>
      </c>
      <c r="DV14" s="95"/>
      <c r="DX14" s="14" t="s">
        <v>70</v>
      </c>
      <c r="DY14" s="12" t="s">
        <v>141</v>
      </c>
      <c r="DZ14" s="12" t="s">
        <v>459</v>
      </c>
      <c r="EC14" s="14" t="s">
        <v>15</v>
      </c>
      <c r="ED14" s="12" t="s">
        <v>66</v>
      </c>
      <c r="EE14" s="12" t="s">
        <v>77</v>
      </c>
      <c r="EF14" s="129" t="s">
        <v>501</v>
      </c>
      <c r="FC14" s="14" t="s">
        <v>83</v>
      </c>
      <c r="FD14" s="14" t="s">
        <v>16</v>
      </c>
      <c r="FE14" s="129" t="s">
        <v>1338</v>
      </c>
      <c r="GD14" s="14" t="s">
        <v>518</v>
      </c>
      <c r="GE14" s="9" t="s">
        <v>541</v>
      </c>
      <c r="GF14" s="132" t="str">
        <f t="shared" si="3"/>
        <v>Rocker Double 9.5mm</v>
      </c>
      <c r="GG14" s="9"/>
      <c r="GN14" s="12" t="s">
        <v>561</v>
      </c>
      <c r="GO14" s="14" t="s">
        <v>22</v>
      </c>
      <c r="GP14" s="12" t="s">
        <v>425</v>
      </c>
      <c r="GQ14" s="133" t="str">
        <f t="shared" si="34"/>
        <v>Atlas Mnts/Legs 12mm</v>
      </c>
      <c r="GR14" s="12"/>
      <c r="GY14" s="12" t="s">
        <v>144</v>
      </c>
      <c r="GZ14" s="14" t="s">
        <v>16</v>
      </c>
      <c r="HA14" s="12" t="s">
        <v>418</v>
      </c>
      <c r="HB14" s="131" t="str">
        <f t="shared" si="33"/>
        <v>Vibraband w/Triad 12mm</v>
      </c>
      <c r="HC14" s="12"/>
      <c r="HD14" s="12"/>
      <c r="HK14" s="62" t="s">
        <v>191</v>
      </c>
      <c r="HL14" s="62" t="s">
        <v>576</v>
      </c>
      <c r="HM14" s="129" t="s">
        <v>577</v>
      </c>
      <c r="HO14" s="10"/>
      <c r="HP14" s="9"/>
      <c r="HQ14" s="9"/>
      <c r="ID14" s="9" t="s">
        <v>1288</v>
      </c>
      <c r="IF14" s="9" t="s">
        <v>77</v>
      </c>
      <c r="IG14" s="110" t="str">
        <f t="shared" si="6"/>
        <v>LB882</v>
      </c>
      <c r="IH14" s="9" t="s">
        <v>637</v>
      </c>
      <c r="II14" s="9" t="s">
        <v>638</v>
      </c>
      <c r="IJ14" s="9" t="s">
        <v>639</v>
      </c>
      <c r="IK14" s="9" t="s">
        <v>640</v>
      </c>
      <c r="IO14" s="9"/>
      <c r="IQ14" s="33"/>
      <c r="JT14" s="9"/>
      <c r="JU14" s="213"/>
      <c r="JY14" s="11"/>
      <c r="JZ14" s="220" t="s">
        <v>5</v>
      </c>
      <c r="KA14" s="216" t="str">
        <f>IF(KA6="","",$E$8)</f>
        <v/>
      </c>
      <c r="KB14" s="216" t="str">
        <f>IF(KB6="","",$E$9)</f>
        <v/>
      </c>
      <c r="KC14" s="216" t="str">
        <f>IF(KC6="","",$E$10)</f>
        <v/>
      </c>
      <c r="KD14" s="216" t="str">
        <f>IF(KD6="","",$E$11)</f>
        <v/>
      </c>
      <c r="KE14" s="216" t="str">
        <f>IF(KE6="","",$E$12)</f>
        <v/>
      </c>
      <c r="KF14" s="216" t="str">
        <f>IF(KF6="","",$E$13)</f>
        <v/>
      </c>
      <c r="KG14" s="216" t="str">
        <f>IF(KG6="","",$E$14)</f>
        <v/>
      </c>
      <c r="KH14" s="216" t="str">
        <f>IF(KH6="","",$E$15)</f>
        <v/>
      </c>
      <c r="KI14" s="216" t="str">
        <f>IF(KI6="","",$E$16)</f>
        <v/>
      </c>
      <c r="KJ14" s="216" t="str">
        <f>IF(KJ6="","",$E$17)</f>
        <v/>
      </c>
      <c r="KK14" s="216" t="str">
        <f>IF(KK6="","",$E$18)</f>
        <v/>
      </c>
      <c r="KL14" s="216" t="str">
        <f>IF(KL6="","",$E$19)</f>
        <v/>
      </c>
      <c r="KM14" s="240" t="str">
        <f>IF(KM6="","",$E$20)</f>
        <v/>
      </c>
    </row>
    <row r="15" spans="1:299" x14ac:dyDescent="0.3">
      <c r="A15" s="54">
        <v>1</v>
      </c>
      <c r="B15" s="190"/>
      <c r="C15" s="190"/>
      <c r="D15" s="67"/>
      <c r="E15" s="190"/>
      <c r="F15" s="67"/>
      <c r="G15" s="191"/>
      <c r="H15" s="33" t="str">
        <f t="shared" si="8"/>
        <v/>
      </c>
      <c r="I15" s="67"/>
      <c r="J15" s="67"/>
      <c r="L15" s="67"/>
      <c r="M15" s="67"/>
      <c r="Z15" t="e" cm="1">
        <f t="array" ref="Z15">CONCATENATE(INDEX($CF$3:$CF$23,MATCH(AE15&amp;AH15,$BT$3:$BT$23&amp;$CC$3:$CC$23,0)),"CUSTOM")</f>
        <v>#N/A</v>
      </c>
      <c r="AA15" t="e">
        <f>INDEX(prd!$BF$5:$BF$40,MATCH(Outfitter!Z15,prd!$BD$5:$BD$40,0))</f>
        <v>#N/A</v>
      </c>
      <c r="AB15" t="e">
        <f>INDEX(prd!$BD$5:$BQ$40,MATCH(Outfitter!$Z15,prd!$BD$5:$BD$40,0),MATCH(Outfitter!$L$1,prd!$BD$5:$BQ$5,0))</f>
        <v>#N/A</v>
      </c>
      <c r="AC15" t="e">
        <f>INDEX(prd!$BG$5:$BG$40,MATCH(Outfitter!Z15,prd!$BD$5:$BD$40,0))</f>
        <v>#N/A</v>
      </c>
      <c r="AD15">
        <v>8</v>
      </c>
      <c r="AE15" s="25" t="e">
        <f t="shared" si="9"/>
        <v>#N/A</v>
      </c>
      <c r="AF15" s="138" t="e">
        <f t="shared" si="10"/>
        <v>#N/A</v>
      </c>
      <c r="AG15" s="25" t="e">
        <f t="shared" si="11"/>
        <v>#N/A</v>
      </c>
      <c r="AH15" s="25" t="str">
        <f t="shared" si="12"/>
        <v/>
      </c>
      <c r="AI15" s="25" t="str">
        <f t="shared" si="13"/>
        <v/>
      </c>
      <c r="AJ15" s="25" t="str">
        <f t="shared" si="14"/>
        <v/>
      </c>
      <c r="AK15" s="25" t="str">
        <f t="shared" si="15"/>
        <v>Cosmic Calamity</v>
      </c>
      <c r="AL15" s="25">
        <f>IF(ISERROR(IF(C15="","",MATCH(C15,$EP$4:$EP$35,0)))=TRUE,1,0)</f>
        <v>0</v>
      </c>
      <c r="AM15" s="25">
        <f>IF(ISERROR(IF(E15="","", MATCH(E15,$FO$4:$FO$10,0)))=TRUE,1,0)</f>
        <v>0</v>
      </c>
      <c r="AN15" s="25">
        <f>IF(ISERROR(IF(G15="","", MATCH(G15,$HW$4:$HW$12,0)))=TRUE,1,0)</f>
        <v>0</v>
      </c>
      <c r="AO15" s="25" t="b">
        <f t="shared" si="16"/>
        <v>0</v>
      </c>
      <c r="AP15" s="138" t="str">
        <f t="shared" si="17"/>
        <v/>
      </c>
      <c r="AQ15" s="138" t="str" cm="1">
        <f t="array" ref="AQ15">IFERROR(IF(AH15&lt;&gt; "LS",INDEX($IQ$1:$IQ$32,MATCH(AH15&amp;AK15,$IN$1:$IN$32&amp;$IO$1:$IO$32,0)), IF(AH15="LS",INDEX($IR$34:$IR$72,MATCH(AH15&amp;AK15&amp;AJ15&amp;BA15,$IN$34:$IN$72&amp;$IO$34:$IO$72&amp;$IP$34:$IP$72&amp;$IQ$34:$IQ$72,0)),"el-CRASH-O")),"")</f>
        <v/>
      </c>
      <c r="AR15" s="138" t="str" cm="1">
        <f t="array" ref="AR15">IFERROR(IF(OR(AH15="LB",AH15="LF"),INDEX($IW$3:$IW$11,MATCH(AJ15,$IV$3:$IV$11,0)),IF(AH15="LT",INDEX($IX$15:$IX$42,MATCH(AH15&amp;AK15&amp;AJ15,$IU$15:$IU$42&amp;$IV$15:$IV$42&amp;$IW$15:$IW$42,0)),IF(AND(AH15="LS", AK15="P86C"),"WM",""))),"")</f>
        <v/>
      </c>
      <c r="AS15" s="25" cm="1">
        <f t="array" ref="AS15">IFERROR(IF(AH15 ="LB",ROUND(INDEX(prd!$CG$3:$CG$35,MATCH(Outfitter!$AJ15&amp;Outfitter!$AF$24,prd!$CD$3:$CD$35&amp;prd!$CE$3:$CE$35,0))*AB15/AA15,2),0),0)</f>
        <v>0</v>
      </c>
      <c r="AT15" s="25">
        <f>IFERROR(IF(AH15="LB",SUM(#REF!,#REF!,AS15),IF(AH15="LT",SUM(#REF!),IF(AH15="LF",SUM(#REF!),IF(AH15="LS",SUM(#REF!),0)))),0)</f>
        <v>0</v>
      </c>
      <c r="AU15" s="79" t="str">
        <f t="shared" si="18"/>
        <v/>
      </c>
      <c r="AV15" s="25" t="str">
        <f>IF(AH15="LB",INDEX(Outfitter!$FX$3:$FX$13,MATCH(Outfitter!AK15,Outfitter!$FY$3:$FY$13,0)),"")</f>
        <v/>
      </c>
      <c r="AW15" s="214" t="str">
        <f t="shared" si="19"/>
        <v/>
      </c>
      <c r="AX15" s="25">
        <f t="shared" si="32"/>
        <v>0</v>
      </c>
      <c r="AY15" s="25">
        <f t="shared" si="20"/>
        <v>0</v>
      </c>
      <c r="AZ15" s="25">
        <f t="shared" si="21"/>
        <v>0</v>
      </c>
      <c r="BA15" s="188" t="str">
        <f t="shared" si="22"/>
        <v>3F</v>
      </c>
      <c r="BB15" s="79" t="str">
        <f t="shared" si="23"/>
        <v xml:space="preserve"> Badge</v>
      </c>
      <c r="BC15" s="79"/>
      <c r="BD15" s="79"/>
      <c r="BE15" s="187" t="e">
        <f t="shared" si="24"/>
        <v>#N/A</v>
      </c>
      <c r="BF15" s="25">
        <f t="shared" si="25"/>
        <v>0</v>
      </c>
      <c r="BG15" s="25">
        <f t="shared" si="26"/>
        <v>0</v>
      </c>
      <c r="BH15" s="25">
        <f t="shared" si="27"/>
        <v>0</v>
      </c>
      <c r="BI15" s="25">
        <f t="shared" si="28"/>
        <v>0</v>
      </c>
      <c r="BJ15" s="9">
        <f t="shared" si="29"/>
        <v>0</v>
      </c>
      <c r="BK15" s="9">
        <f t="shared" si="30"/>
        <v>0</v>
      </c>
      <c r="BL15" t="str">
        <f t="shared" si="31"/>
        <v/>
      </c>
      <c r="BS15" s="12" t="s">
        <v>227</v>
      </c>
      <c r="BT15" s="12" t="s">
        <v>18</v>
      </c>
      <c r="CB15" s="12" t="s">
        <v>227</v>
      </c>
      <c r="CC15" s="12" t="s">
        <v>52</v>
      </c>
      <c r="CF15" s="90" t="s">
        <v>227</v>
      </c>
      <c r="CG15" t="s">
        <v>261</v>
      </c>
      <c r="CH15" t="s">
        <v>261</v>
      </c>
      <c r="CI15" t="s">
        <v>261</v>
      </c>
      <c r="CJ15" t="s">
        <v>250</v>
      </c>
      <c r="CK15" t="s">
        <v>173</v>
      </c>
      <c r="CN15" s="15" t="s">
        <v>296</v>
      </c>
      <c r="CO15" s="92" t="s">
        <v>297</v>
      </c>
      <c r="CP15" s="14" t="s">
        <v>286</v>
      </c>
      <c r="CQ15" s="14" t="s">
        <v>76</v>
      </c>
      <c r="CR15" s="6" t="str">
        <f t="shared" si="0"/>
        <v>0L: Cherry Stain</v>
      </c>
      <c r="CT15" s="3" t="str">
        <f t="shared" si="1"/>
        <v>Sprayed</v>
      </c>
      <c r="CU15" s="12" t="s">
        <v>17</v>
      </c>
      <c r="CV15" s="13" t="s">
        <v>287</v>
      </c>
      <c r="CW15" s="129" t="str">
        <f t="shared" si="2"/>
        <v>GN: Black Cat</v>
      </c>
      <c r="DA15" s="9" t="s">
        <v>15</v>
      </c>
      <c r="DB15" s="9" t="s">
        <v>43</v>
      </c>
      <c r="DC15" t="s">
        <v>1344</v>
      </c>
      <c r="DF15" s="3"/>
      <c r="DG15" s="3"/>
      <c r="DJ15" s="12" t="s">
        <v>15</v>
      </c>
      <c r="DK15" s="12" t="s">
        <v>24</v>
      </c>
      <c r="DL15" s="12" t="s">
        <v>417</v>
      </c>
      <c r="DM15" s="14" t="s">
        <v>414</v>
      </c>
      <c r="DN15" s="129" t="s">
        <v>1272</v>
      </c>
      <c r="DR15" s="12" t="s">
        <v>18</v>
      </c>
      <c r="DS15" s="12" t="s">
        <v>429</v>
      </c>
      <c r="DT15" s="12" t="s">
        <v>413</v>
      </c>
      <c r="DU15" s="12" t="s">
        <v>397</v>
      </c>
      <c r="DV15" s="95"/>
      <c r="DX15" s="14" t="s">
        <v>70</v>
      </c>
      <c r="DY15" s="12" t="s">
        <v>143</v>
      </c>
      <c r="DZ15" s="12" t="s">
        <v>460</v>
      </c>
      <c r="EC15" s="14" t="s">
        <v>15</v>
      </c>
      <c r="ED15" s="12" t="s">
        <v>66</v>
      </c>
      <c r="EE15" s="12" t="s">
        <v>81</v>
      </c>
      <c r="EF15" s="129" t="s">
        <v>502</v>
      </c>
      <c r="FC15" s="14" t="s">
        <v>95</v>
      </c>
      <c r="FD15" s="14" t="s">
        <v>22</v>
      </c>
      <c r="FE15" s="129" t="s">
        <v>519</v>
      </c>
      <c r="FV15" t="s">
        <v>6</v>
      </c>
      <c r="FY15" s="9"/>
      <c r="GD15" s="14" t="s">
        <v>518</v>
      </c>
      <c r="GE15" s="9" t="s">
        <v>547</v>
      </c>
      <c r="GF15" s="132" t="str">
        <f t="shared" si="3"/>
        <v>ATLAS Single 12mm</v>
      </c>
      <c r="GG15" s="9"/>
      <c r="GN15" s="12" t="s">
        <v>561</v>
      </c>
      <c r="GO15" s="14" t="s">
        <v>24</v>
      </c>
      <c r="GP15" s="12" t="s">
        <v>555</v>
      </c>
      <c r="GQ15" s="133" t="str">
        <f t="shared" si="34"/>
        <v>Clsc Ludwig Legs 9.5mm</v>
      </c>
      <c r="GR15" s="12"/>
      <c r="GY15" s="12" t="s">
        <v>144</v>
      </c>
      <c r="GZ15" s="14" t="s">
        <v>22</v>
      </c>
      <c r="HA15" s="12" t="s">
        <v>413</v>
      </c>
      <c r="HB15" s="131" t="str">
        <f t="shared" si="33"/>
        <v>No Mounting Bracket</v>
      </c>
      <c r="HC15" s="12"/>
      <c r="HD15" s="12"/>
      <c r="HK15" s="62" t="s">
        <v>196</v>
      </c>
      <c r="HL15" s="62" t="s">
        <v>576</v>
      </c>
      <c r="HM15" s="129" t="s">
        <v>577</v>
      </c>
      <c r="HO15" s="10"/>
      <c r="HP15" s="9"/>
      <c r="HQ15" s="9"/>
      <c r="ID15" s="9" t="s">
        <v>1289</v>
      </c>
      <c r="IF15" s="9" t="s">
        <v>81</v>
      </c>
      <c r="IG15" s="110" t="str">
        <f t="shared" si="6"/>
        <v>LB802</v>
      </c>
      <c r="IH15" s="9" t="s">
        <v>641</v>
      </c>
      <c r="II15" s="9" t="s">
        <v>642</v>
      </c>
      <c r="IJ15" s="9" t="s">
        <v>643</v>
      </c>
      <c r="IK15" s="9" t="s">
        <v>644</v>
      </c>
      <c r="IU15" t="s">
        <v>893</v>
      </c>
      <c r="IV15" t="s">
        <v>894</v>
      </c>
      <c r="IW15" t="s">
        <v>5</v>
      </c>
      <c r="IX15" t="s">
        <v>888</v>
      </c>
      <c r="JT15" s="9"/>
      <c r="JU15" s="213"/>
      <c r="JY15" s="218"/>
      <c r="JZ15" s="220" t="s">
        <v>1266</v>
      </c>
      <c r="KA15" s="216" t="str" cm="1">
        <f t="array" ref="KA15">IFERROR(INDEX($AG$1:$AG$55,MATCH(KA$6&amp;$JZ15,$Z$1:$Z$55&amp;$AE$1:$AE$55,0)),"")</f>
        <v/>
      </c>
      <c r="KB15" s="216" t="str" cm="1">
        <f t="array" ref="KB15">IFERROR(INDEX($AG$1:$AG$55,MATCH(KB$6&amp;$JZ15,$Z$1:$Z$55&amp;$AE$1:$AE$55,0)),"")</f>
        <v/>
      </c>
      <c r="KC15" s="216" t="str" cm="1">
        <f t="array" ref="KC15">IFERROR(INDEX($AG$1:$AG$55,MATCH(KC$6&amp;$JZ15,$Z$1:$Z$55&amp;$AE$1:$AE$55,0)),"")</f>
        <v/>
      </c>
      <c r="KD15" s="216" t="str" cm="1">
        <f t="array" ref="KD15">IFERROR(INDEX($AG$1:$AG$55,MATCH(KD$6&amp;$JZ15,$Z$1:$Z$55&amp;$AE$1:$AE$55,0)),"")</f>
        <v/>
      </c>
      <c r="KE15" s="216" t="str" cm="1">
        <f t="array" ref="KE15">IFERROR(INDEX($AG$1:$AG$55,MATCH(KE$6&amp;$JZ15,$Z$1:$Z$55&amp;$AE$1:$AE$55,0)),"")</f>
        <v/>
      </c>
      <c r="KF15" s="216" t="str" cm="1">
        <f t="array" ref="KF15">IFERROR(INDEX($AG$1:$AG$55,MATCH(KF$6&amp;$JZ15,$Z$1:$Z$55&amp;$AE$1:$AE$55,0)),"")</f>
        <v/>
      </c>
      <c r="KG15" s="216" t="str" cm="1">
        <f t="array" ref="KG15">IFERROR(INDEX($AG$1:$AG$55,MATCH(KG$6&amp;$JZ15,$Z$1:$Z$55&amp;$AE$1:$AE$55,0)),"")</f>
        <v/>
      </c>
      <c r="KH15" s="216" t="str" cm="1">
        <f t="array" ref="KH15">IFERROR(INDEX($AG$1:$AG$55,MATCH(KH$6&amp;$JZ15,$Z$1:$Z$55&amp;$AE$1:$AE$55,0)),"")</f>
        <v/>
      </c>
      <c r="KI15" s="216" t="str" cm="1">
        <f t="array" ref="KI15">IFERROR(INDEX($AG$1:$AG$55,MATCH(KI$6&amp;$JZ15,$Z$1:$Z$55&amp;$AE$1:$AE$55,0)),"")</f>
        <v/>
      </c>
      <c r="KJ15" s="216" t="str" cm="1">
        <f t="array" ref="KJ15">IFERROR(INDEX($AG$1:$AG$55,MATCH(KJ$6&amp;$JZ15,$Z$1:$Z$55&amp;$AE$1:$AE$55,0)),"")</f>
        <v/>
      </c>
      <c r="KK15" s="216" t="str" cm="1">
        <f t="array" ref="KK15">IFERROR(INDEX($AG$1:$AG$55,MATCH(KK$6&amp;$JZ15,$Z$1:$Z$55&amp;$AE$1:$AE$55,0)),"")</f>
        <v/>
      </c>
      <c r="KL15" s="216" t="str" cm="1">
        <f t="array" ref="KL15">IFERROR(INDEX($AG$1:$AG$55,MATCH(KL$6&amp;$JZ15,$Z$1:$Z$55&amp;$AE$1:$AE$55,0)),"")</f>
        <v/>
      </c>
      <c r="KM15" s="240" t="str" cm="1">
        <f t="array" ref="KM15">IFERROR(INDEX($AG$1:$AG$55,MATCH(KM$6&amp;$JZ15,$Z$1:$Z$55&amp;$AE$1:$AE$55,0)),"")</f>
        <v/>
      </c>
    </row>
    <row r="16" spans="1:299" x14ac:dyDescent="0.3">
      <c r="A16" s="54">
        <v>1</v>
      </c>
      <c r="B16" s="190"/>
      <c r="C16" s="190"/>
      <c r="D16" s="67"/>
      <c r="E16" s="190"/>
      <c r="F16" s="67"/>
      <c r="G16" s="191"/>
      <c r="H16" s="33" t="str">
        <f t="shared" si="8"/>
        <v/>
      </c>
      <c r="I16" s="67"/>
      <c r="J16" s="67"/>
      <c r="L16" s="67"/>
      <c r="M16" s="67"/>
      <c r="Z16" t="e" cm="1">
        <f t="array" ref="Z16">CONCATENATE(INDEX($CF$3:$CF$23,MATCH(AE16&amp;AH16,$BT$3:$BT$23&amp;$CC$3:$CC$23,0)),"CUSTOM")</f>
        <v>#N/A</v>
      </c>
      <c r="AA16" t="e">
        <f>INDEX(prd!$BF$5:$BF$40,MATCH(Outfitter!Z16,prd!$BD$5:$BD$40,0))</f>
        <v>#N/A</v>
      </c>
      <c r="AB16" t="e">
        <f>INDEX(prd!$BD$5:$BQ$40,MATCH(Outfitter!$Z16,prd!$BD$5:$BD$40,0),MATCH(Outfitter!$L$1,prd!$BD$5:$BQ$5,0))</f>
        <v>#N/A</v>
      </c>
      <c r="AC16" t="e">
        <f>INDEX(prd!$BG$5:$BG$40,MATCH(Outfitter!Z16,prd!$BD$5:$BD$40,0))</f>
        <v>#N/A</v>
      </c>
      <c r="AD16">
        <v>9</v>
      </c>
      <c r="AE16" s="25" t="e">
        <f t="shared" si="9"/>
        <v>#N/A</v>
      </c>
      <c r="AF16" s="138" t="e">
        <f t="shared" si="10"/>
        <v>#N/A</v>
      </c>
      <c r="AG16" s="25" t="e">
        <f t="shared" si="11"/>
        <v>#N/A</v>
      </c>
      <c r="AH16" s="25" t="str">
        <f t="shared" si="12"/>
        <v/>
      </c>
      <c r="AI16" s="25" t="str">
        <f t="shared" si="13"/>
        <v/>
      </c>
      <c r="AJ16" s="25" t="str">
        <f t="shared" si="14"/>
        <v/>
      </c>
      <c r="AK16" s="25" t="str">
        <f t="shared" si="15"/>
        <v>Cosmic Calamity</v>
      </c>
      <c r="AL16" s="25">
        <f>IF(ISERROR(IF(C16="","",MATCH(C16,$EQ$4:$EQ$35,0)))=TRUE,1,0)</f>
        <v>0</v>
      </c>
      <c r="AM16" s="25">
        <f>IF(ISERROR(IF(E16="","", MATCH(E16,$FP$4:$FP$10,0)))=TRUE,1,0)</f>
        <v>0</v>
      </c>
      <c r="AN16" s="25">
        <f>IF(ISERROR(IF(G16="","", MATCH(G16,$HX$4:$HX$12,0)))=TRUE,1,0)</f>
        <v>0</v>
      </c>
      <c r="AO16" s="25" t="b">
        <f t="shared" si="16"/>
        <v>0</v>
      </c>
      <c r="AP16" s="138" t="str">
        <f t="shared" si="17"/>
        <v/>
      </c>
      <c r="AQ16" s="138" t="str" cm="1">
        <f t="array" ref="AQ16">IFERROR(IF(AH16&lt;&gt; "LS",INDEX($IQ$1:$IQ$32,MATCH(AH16&amp;AK16,$IN$1:$IN$32&amp;$IO$1:$IO$32,0)), IF(AH16="LS",INDEX($IR$34:$IR$72,MATCH(AH16&amp;AK16&amp;AJ16&amp;BA16,$IN$34:$IN$72&amp;$IO$34:$IO$72&amp;$IP$34:$IP$72&amp;$IQ$34:$IQ$72,0)),"el-CRASH-O")),"")</f>
        <v/>
      </c>
      <c r="AR16" s="138" t="str" cm="1">
        <f t="array" ref="AR16">IFERROR(IF(OR(AH16="LB",AH16="LF"),INDEX($IW$3:$IW$11,MATCH(AJ16,$IV$3:$IV$11,0)),IF(AH16="LT",INDEX($IX$15:$IX$42,MATCH(AH16&amp;AK16&amp;AJ16,$IU$15:$IU$42&amp;$IV$15:$IV$42&amp;$IW$15:$IW$42,0)),IF(AND(AH16="LS", AK16="P86C"),"WM",""))),"")</f>
        <v/>
      </c>
      <c r="AS16" s="25" cm="1">
        <f t="array" ref="AS16">IFERROR(IF(AH16 ="LB",ROUND(INDEX(prd!$CG$3:$CG$35,MATCH(Outfitter!$AJ16&amp;Outfitter!$AF$24,prd!$CD$3:$CD$35&amp;prd!$CE$3:$CE$35,0))*AB16/AA16,2),0),0)</f>
        <v>0</v>
      </c>
      <c r="AT16" s="25">
        <f>IFERROR(IF(AH16="LB",SUM(#REF!,#REF!,AS16),IF(AH16="LT",SUM(#REF!),IF(AH16="LF",SUM(#REF!),IF(AH16="LS",SUM(#REF!),0)))),0)</f>
        <v>0</v>
      </c>
      <c r="AU16" s="79" t="str">
        <f t="shared" si="18"/>
        <v/>
      </c>
      <c r="AV16" s="25" t="str">
        <f>IF(AH16="LB",INDEX(Outfitter!$FX$3:$FX$13,MATCH(Outfitter!AK16,Outfitter!$FY$3:$FY$13,0)),"")</f>
        <v/>
      </c>
      <c r="AW16" s="214" t="str">
        <f t="shared" si="19"/>
        <v/>
      </c>
      <c r="AX16" s="25">
        <f t="shared" si="32"/>
        <v>0</v>
      </c>
      <c r="AY16" s="25">
        <f t="shared" si="20"/>
        <v>0</v>
      </c>
      <c r="AZ16" s="25">
        <f t="shared" si="21"/>
        <v>0</v>
      </c>
      <c r="BA16" s="188" t="str">
        <f t="shared" si="22"/>
        <v>3F</v>
      </c>
      <c r="BB16" s="79" t="str">
        <f t="shared" si="23"/>
        <v xml:space="preserve"> Badge</v>
      </c>
      <c r="BC16" s="79"/>
      <c r="BD16" s="79"/>
      <c r="BE16" s="187" t="e">
        <f t="shared" si="24"/>
        <v>#N/A</v>
      </c>
      <c r="BF16" s="25">
        <f t="shared" si="25"/>
        <v>0</v>
      </c>
      <c r="BG16" s="25">
        <f t="shared" si="26"/>
        <v>0</v>
      </c>
      <c r="BH16" s="25">
        <f t="shared" si="27"/>
        <v>0</v>
      </c>
      <c r="BI16" s="25">
        <f t="shared" si="28"/>
        <v>0</v>
      </c>
      <c r="BJ16" s="9">
        <f t="shared" si="29"/>
        <v>0</v>
      </c>
      <c r="BK16" s="9">
        <f t="shared" si="30"/>
        <v>0</v>
      </c>
      <c r="BL16" t="str">
        <f t="shared" si="31"/>
        <v/>
      </c>
      <c r="BS16" s="12" t="s">
        <v>228</v>
      </c>
      <c r="BT16" s="12" t="s">
        <v>17</v>
      </c>
      <c r="CB16" s="12" t="s">
        <v>228</v>
      </c>
      <c r="CC16" s="12" t="s">
        <v>66</v>
      </c>
      <c r="CF16" s="18" t="s">
        <v>228</v>
      </c>
      <c r="CG16" t="s">
        <v>262</v>
      </c>
      <c r="CH16" t="s">
        <v>262</v>
      </c>
      <c r="CI16" t="s">
        <v>262</v>
      </c>
      <c r="CJ16" t="s">
        <v>250</v>
      </c>
      <c r="CK16" t="s">
        <v>154</v>
      </c>
      <c r="CN16" s="15" t="s">
        <v>298</v>
      </c>
      <c r="CO16" s="92" t="s">
        <v>1361</v>
      </c>
      <c r="CP16" s="14" t="s">
        <v>286</v>
      </c>
      <c r="CQ16" s="14" t="s">
        <v>76</v>
      </c>
      <c r="CR16" s="6" t="str">
        <f t="shared" si="0"/>
        <v>DR: Diablo Red</v>
      </c>
      <c r="CT16" s="3" t="str">
        <f t="shared" si="1"/>
        <v>Wrap</v>
      </c>
      <c r="CU16" s="12" t="s">
        <v>15</v>
      </c>
      <c r="CV16" s="13" t="s">
        <v>333</v>
      </c>
      <c r="CW16" s="129" t="str">
        <f t="shared" si="2"/>
        <v>0G: Black Cortex</v>
      </c>
      <c r="DA16" s="9" t="s">
        <v>15</v>
      </c>
      <c r="DB16" s="9" t="s">
        <v>76</v>
      </c>
      <c r="DC16" t="s">
        <v>1080</v>
      </c>
      <c r="DE16" s="7"/>
      <c r="DJ16" s="12" t="s">
        <v>15</v>
      </c>
      <c r="DK16" s="12" t="s">
        <v>24</v>
      </c>
      <c r="DL16" s="12" t="s">
        <v>418</v>
      </c>
      <c r="DM16" s="14" t="s">
        <v>399</v>
      </c>
      <c r="DN16" s="129" t="s">
        <v>1330</v>
      </c>
      <c r="DR16" s="12" t="s">
        <v>15</v>
      </c>
      <c r="DS16" s="12" t="s">
        <v>24</v>
      </c>
      <c r="DT16" s="12" t="s">
        <v>413</v>
      </c>
      <c r="DU16" s="12" t="s">
        <v>399</v>
      </c>
      <c r="DV16" s="95"/>
      <c r="DX16" s="14" t="s">
        <v>70</v>
      </c>
      <c r="DY16" s="12" t="s">
        <v>144</v>
      </c>
      <c r="DZ16" s="12" t="s">
        <v>461</v>
      </c>
      <c r="EC16" s="14" t="s">
        <v>15</v>
      </c>
      <c r="ED16" s="12" t="s">
        <v>66</v>
      </c>
      <c r="EE16" s="12" t="s">
        <v>83</v>
      </c>
      <c r="EF16" s="129" t="s">
        <v>503</v>
      </c>
      <c r="FC16" s="14" t="s">
        <v>95</v>
      </c>
      <c r="FD16" s="14" t="s">
        <v>518</v>
      </c>
      <c r="FE16" s="129" t="s">
        <v>1337</v>
      </c>
      <c r="FV16" t="s">
        <v>531</v>
      </c>
      <c r="FY16" s="9"/>
      <c r="GD16" s="14" t="s">
        <v>518</v>
      </c>
      <c r="GE16" s="9" t="s">
        <v>545</v>
      </c>
      <c r="GF16" s="132" t="str">
        <f t="shared" si="3"/>
        <v>ATLAS Double 12mm</v>
      </c>
      <c r="GG16" s="9"/>
      <c r="GN16" s="12" t="s">
        <v>561</v>
      </c>
      <c r="GO16" s="14" t="s">
        <v>24</v>
      </c>
      <c r="GP16" s="12" t="s">
        <v>556</v>
      </c>
      <c r="GQ16" s="133" t="str">
        <f t="shared" si="34"/>
        <v>No Legs or Drilling</v>
      </c>
      <c r="GR16" s="12"/>
      <c r="GY16" s="12" t="s">
        <v>144</v>
      </c>
      <c r="GZ16" s="14" t="s">
        <v>22</v>
      </c>
      <c r="HA16" s="12" t="s">
        <v>419</v>
      </c>
      <c r="HB16" s="131" t="str">
        <f t="shared" si="33"/>
        <v>Ludwig Classic 9.5mm</v>
      </c>
      <c r="HC16" s="12"/>
      <c r="HD16" s="12"/>
      <c r="HK16" s="62" t="s">
        <v>186</v>
      </c>
      <c r="HL16" s="62" t="s">
        <v>576</v>
      </c>
      <c r="HM16" s="129" t="s">
        <v>577</v>
      </c>
      <c r="HO16" s="10"/>
      <c r="HP16" s="9"/>
      <c r="HQ16" s="9"/>
      <c r="ID16" s="9" t="s">
        <v>1290</v>
      </c>
      <c r="IF16" s="9" t="s">
        <v>83</v>
      </c>
      <c r="IG16" s="110" t="str">
        <f t="shared" si="6"/>
        <v>LB824</v>
      </c>
      <c r="IH16" s="9" t="s">
        <v>645</v>
      </c>
      <c r="II16" s="9" t="s">
        <v>646</v>
      </c>
      <c r="IJ16" s="9" t="s">
        <v>647</v>
      </c>
      <c r="IK16" s="9" t="s">
        <v>648</v>
      </c>
      <c r="IQ16" s="108"/>
      <c r="IU16" t="s">
        <v>24</v>
      </c>
      <c r="IV16" t="s">
        <v>417</v>
      </c>
      <c r="IW16" t="s">
        <v>518</v>
      </c>
      <c r="IX16" t="s">
        <v>895</v>
      </c>
      <c r="JU16" s="213"/>
      <c r="JY16" s="11"/>
      <c r="JZ16" s="220" t="s">
        <v>1311</v>
      </c>
      <c r="KA16" s="216" t="str">
        <f>IF(KA8="Bass",$G$8,"")</f>
        <v/>
      </c>
      <c r="KB16" s="216" t="str">
        <f>IF(KB8="Bass",$G$9,"")</f>
        <v/>
      </c>
      <c r="KC16" s="216" t="str">
        <f>IF(KC8="Bass",$G$10,"")</f>
        <v/>
      </c>
      <c r="KD16" s="216" t="str">
        <f>IF(KD8="Bass",$G$11,"")</f>
        <v/>
      </c>
      <c r="KE16" s="216" t="str">
        <f>IF(KE8="Bass",$G$12,"")</f>
        <v/>
      </c>
      <c r="KF16" s="216" t="str">
        <f>IF(KF8="Bass",$G$13,"")</f>
        <v/>
      </c>
      <c r="KG16" s="216" t="str">
        <f>IF(KG8="Bass",$G$14,"")</f>
        <v/>
      </c>
      <c r="KH16" s="216" t="str">
        <f>IF(KH8="Bass",$G$15,"")</f>
        <v/>
      </c>
      <c r="KI16" s="216" t="str">
        <f>IF(KI8="Bass",$G$16,"")</f>
        <v/>
      </c>
      <c r="KJ16" s="216" t="str">
        <f>IF(KJ8="Bass",$G$17,"")</f>
        <v/>
      </c>
      <c r="KK16" s="216" t="str">
        <f>IF(KK8="Bass",$G$18,"")</f>
        <v/>
      </c>
      <c r="KL16" s="216" t="str">
        <f>IF(KL8="Bass",$G$19,"")</f>
        <v/>
      </c>
      <c r="KM16" s="224" t="str">
        <f>IF(KM8="Bass",$G$20,"")</f>
        <v/>
      </c>
    </row>
    <row r="17" spans="1:299" x14ac:dyDescent="0.3">
      <c r="A17" s="54">
        <v>1</v>
      </c>
      <c r="B17" s="190"/>
      <c r="C17" s="190"/>
      <c r="D17" s="67"/>
      <c r="E17" s="190"/>
      <c r="F17" s="67"/>
      <c r="G17" s="191"/>
      <c r="H17" s="33" t="str">
        <f t="shared" si="8"/>
        <v/>
      </c>
      <c r="I17" s="67"/>
      <c r="J17" s="67"/>
      <c r="L17" s="67"/>
      <c r="M17" s="67"/>
      <c r="Z17" t="e" cm="1">
        <f t="array" ref="Z17">CONCATENATE(INDEX($CF$3:$CF$23,MATCH(AE17&amp;AH17,$BT$3:$BT$23&amp;$CC$3:$CC$23,0)),"CUSTOM")</f>
        <v>#N/A</v>
      </c>
      <c r="AA17" t="e">
        <f>INDEX(prd!$BF$5:$BF$40,MATCH(Outfitter!Z17,prd!$BD$5:$BD$40,0))</f>
        <v>#N/A</v>
      </c>
      <c r="AB17" t="e">
        <f>INDEX(prd!$BD$5:$BQ$40,MATCH(Outfitter!$Z17,prd!$BD$5:$BD$40,0),MATCH(Outfitter!$L$1,prd!$BD$5:$BQ$5,0))</f>
        <v>#N/A</v>
      </c>
      <c r="AC17" t="e">
        <f>INDEX(prd!$BG$5:$BG$40,MATCH(Outfitter!Z17,prd!$BD$5:$BD$40,0))</f>
        <v>#N/A</v>
      </c>
      <c r="AD17">
        <v>10</v>
      </c>
      <c r="AE17" s="25" t="e">
        <f t="shared" si="9"/>
        <v>#N/A</v>
      </c>
      <c r="AF17" s="138" t="e">
        <f t="shared" si="10"/>
        <v>#N/A</v>
      </c>
      <c r="AG17" s="25" t="e">
        <f t="shared" si="11"/>
        <v>#N/A</v>
      </c>
      <c r="AH17" s="25" t="str">
        <f t="shared" si="12"/>
        <v/>
      </c>
      <c r="AI17" s="25" t="str">
        <f t="shared" si="13"/>
        <v/>
      </c>
      <c r="AJ17" s="25" t="str">
        <f t="shared" si="14"/>
        <v/>
      </c>
      <c r="AK17" s="25" t="str">
        <f t="shared" si="15"/>
        <v>Cosmic Calamity</v>
      </c>
      <c r="AL17" s="25">
        <f>IF(ISERROR(IF(C17="","",MATCH(C17,$ER$4:$ER$35,0)))=TRUE,1,0)</f>
        <v>0</v>
      </c>
      <c r="AM17" s="25">
        <f>IF(ISERROR(IF(E17="","", MATCH(E17,$FQ$4:$FQ$10,0)))=TRUE,1,0)</f>
        <v>0</v>
      </c>
      <c r="AN17" s="25">
        <f>IF(ISERROR(IF(G17="","", MATCH(G17,$HY$4:$HY$12,0)))=TRUE,1,0)</f>
        <v>0</v>
      </c>
      <c r="AO17" s="25" t="b">
        <f t="shared" si="16"/>
        <v>0</v>
      </c>
      <c r="AP17" s="138" t="str">
        <f t="shared" si="17"/>
        <v/>
      </c>
      <c r="AQ17" s="138" t="str" cm="1">
        <f t="array" ref="AQ17">IFERROR(IF(AH17&lt;&gt; "LS",INDEX($IQ$1:$IQ$32,MATCH(AH17&amp;AK17,$IN$1:$IN$32&amp;$IO$1:$IO$32,0)), IF(AH17="LS",INDEX($IR$34:$IR$72,MATCH(AH17&amp;AK17&amp;AJ17&amp;BA17,$IN$34:$IN$72&amp;$IO$34:$IO$72&amp;$IP$34:$IP$72&amp;$IQ$34:$IQ$72,0)),"el-CRASH-O")),"")</f>
        <v/>
      </c>
      <c r="AR17" s="138" t="str" cm="1">
        <f t="array" ref="AR17">IFERROR(IF(OR(AH17="LB",AH17="LF"),INDEX($IW$3:$IW$11,MATCH(AJ17,$IV$3:$IV$11,0)),IF(AH17="LT",INDEX($IX$15:$IX$42,MATCH(AH17&amp;AK17&amp;AJ17,$IU$15:$IU$42&amp;$IV$15:$IV$42&amp;$IW$15:$IW$42,0)),IF(AND(AH17="LS", AK17="P86C"),"WM",""))),"")</f>
        <v/>
      </c>
      <c r="AS17" s="25" cm="1">
        <f t="array" ref="AS17">IFERROR(IF(AH17 ="LB",ROUND(INDEX(prd!$CG$3:$CG$35,MATCH(Outfitter!$AJ17&amp;Outfitter!$AF$24,prd!$CD$3:$CD$35&amp;prd!$CE$3:$CE$35,0))*AB17/AA17,2),0),0)</f>
        <v>0</v>
      </c>
      <c r="AT17" s="25">
        <f>IFERROR(IF(AH17="LB",SUM(#REF!,#REF!,AS17),IF(AH17="LT",SUM(#REF!),IF(AH17="LF",SUM(#REF!),IF(AH17="LS",SUM(#REF!),0)))),0)</f>
        <v>0</v>
      </c>
      <c r="AU17" s="79" t="str">
        <f t="shared" si="18"/>
        <v/>
      </c>
      <c r="AV17" s="25" t="str">
        <f>IF(AH17="LB",INDEX(Outfitter!$FX$3:$FX$13,MATCH(Outfitter!AK17,Outfitter!$FY$3:$FY$13,0)),"")</f>
        <v/>
      </c>
      <c r="AW17" s="214" t="str">
        <f t="shared" si="19"/>
        <v/>
      </c>
      <c r="AX17" s="25">
        <f t="shared" si="32"/>
        <v>0</v>
      </c>
      <c r="AY17" s="25">
        <f t="shared" si="20"/>
        <v>0</v>
      </c>
      <c r="AZ17" s="25">
        <f t="shared" si="21"/>
        <v>0</v>
      </c>
      <c r="BA17" s="188" t="str">
        <f t="shared" si="22"/>
        <v>3F</v>
      </c>
      <c r="BB17" s="79" t="str">
        <f t="shared" si="23"/>
        <v xml:space="preserve"> Badge</v>
      </c>
      <c r="BC17" s="79"/>
      <c r="BD17" s="79"/>
      <c r="BE17" s="187" t="e">
        <f t="shared" si="24"/>
        <v>#N/A</v>
      </c>
      <c r="BF17" s="25">
        <f t="shared" si="25"/>
        <v>0</v>
      </c>
      <c r="BG17" s="25">
        <f t="shared" si="26"/>
        <v>0</v>
      </c>
      <c r="BH17" s="25">
        <f t="shared" si="27"/>
        <v>0</v>
      </c>
      <c r="BI17" s="25">
        <f t="shared" si="28"/>
        <v>0</v>
      </c>
      <c r="BJ17" s="9">
        <f t="shared" si="29"/>
        <v>0</v>
      </c>
      <c r="BK17" s="9">
        <f t="shared" si="30"/>
        <v>0</v>
      </c>
      <c r="BL17" t="str">
        <f t="shared" si="31"/>
        <v/>
      </c>
      <c r="BN17" s="18" t="s">
        <v>1417</v>
      </c>
      <c r="BS17" s="12" t="s">
        <v>229</v>
      </c>
      <c r="BT17" s="12" t="s">
        <v>17</v>
      </c>
      <c r="CB17" s="12" t="s">
        <v>229</v>
      </c>
      <c r="CC17" s="12" t="s">
        <v>73</v>
      </c>
      <c r="CF17" s="18" t="s">
        <v>229</v>
      </c>
      <c r="CG17" t="s">
        <v>263</v>
      </c>
      <c r="CH17" t="s">
        <v>263</v>
      </c>
      <c r="CI17" t="s">
        <v>263</v>
      </c>
      <c r="CJ17" t="s">
        <v>250</v>
      </c>
      <c r="CK17" t="s">
        <v>166</v>
      </c>
      <c r="CN17" s="15" t="s">
        <v>299</v>
      </c>
      <c r="CO17" s="92" t="s">
        <v>300</v>
      </c>
      <c r="CP17" s="14" t="s">
        <v>286</v>
      </c>
      <c r="CQ17" s="14" t="s">
        <v>76</v>
      </c>
      <c r="CR17" s="6" t="str">
        <f t="shared" si="0"/>
        <v>RN: Golden Slumbers (burst)</v>
      </c>
      <c r="CT17" s="3" t="str">
        <f t="shared" si="1"/>
        <v>Wrap</v>
      </c>
      <c r="CU17" s="12" t="s">
        <v>16</v>
      </c>
      <c r="CV17" s="13" t="s">
        <v>333</v>
      </c>
      <c r="CW17" s="129" t="str">
        <f t="shared" si="2"/>
        <v>0G: Black Cortex</v>
      </c>
      <c r="DA17" s="9" t="s">
        <v>15</v>
      </c>
      <c r="DB17" s="9" t="s">
        <v>76</v>
      </c>
      <c r="DC17" t="s">
        <v>1344</v>
      </c>
      <c r="DE17" s="7" t="s">
        <v>405</v>
      </c>
      <c r="DJ17" s="12" t="s">
        <v>15</v>
      </c>
      <c r="DK17" s="12" t="s">
        <v>24</v>
      </c>
      <c r="DL17" s="12" t="s">
        <v>418</v>
      </c>
      <c r="DM17" s="14" t="s">
        <v>394</v>
      </c>
      <c r="DN17" s="129" t="s">
        <v>199</v>
      </c>
      <c r="DR17" s="12" t="s">
        <v>16</v>
      </c>
      <c r="DS17" s="12" t="s">
        <v>24</v>
      </c>
      <c r="DT17" s="12" t="s">
        <v>413</v>
      </c>
      <c r="DU17" s="12" t="s">
        <v>397</v>
      </c>
      <c r="DV17" s="95"/>
      <c r="DX17" s="14" t="s">
        <v>70</v>
      </c>
      <c r="DY17" s="12" t="s">
        <v>146</v>
      </c>
      <c r="DZ17" s="12" t="s">
        <v>462</v>
      </c>
      <c r="EC17" s="14" t="s">
        <v>15</v>
      </c>
      <c r="ED17" s="12" t="s">
        <v>66</v>
      </c>
      <c r="EE17" s="12" t="s">
        <v>85</v>
      </c>
      <c r="EF17" s="129" t="s">
        <v>504</v>
      </c>
      <c r="FC17" s="14" t="s">
        <v>95</v>
      </c>
      <c r="FD17" s="14" t="s">
        <v>16</v>
      </c>
      <c r="FE17" s="129" t="s">
        <v>1338</v>
      </c>
      <c r="FV17" t="s">
        <v>532</v>
      </c>
      <c r="FY17" s="9"/>
      <c r="GD17" s="14" t="s">
        <v>518</v>
      </c>
      <c r="GE17" s="9" t="s">
        <v>549</v>
      </c>
      <c r="GF17" s="132" t="str">
        <f t="shared" si="3"/>
        <v>ATLAS Arch 12mm</v>
      </c>
      <c r="GG17" s="9"/>
      <c r="GN17" s="12" t="s">
        <v>561</v>
      </c>
      <c r="GO17" s="14" t="s">
        <v>24</v>
      </c>
      <c r="GP17" s="12" t="s">
        <v>558</v>
      </c>
      <c r="GQ17" s="133" t="str">
        <f t="shared" si="34"/>
        <v>Triad Brkts/Legs 12mm</v>
      </c>
      <c r="GR17" s="12"/>
      <c r="GY17" s="12" t="s">
        <v>144</v>
      </c>
      <c r="GZ17" s="14" t="s">
        <v>22</v>
      </c>
      <c r="HA17" s="12" t="s">
        <v>417</v>
      </c>
      <c r="HB17" s="131" t="str">
        <f t="shared" si="33"/>
        <v>Vibraband w/Ludwig 9.5mm</v>
      </c>
      <c r="HC17" s="12"/>
      <c r="HD17" s="12"/>
      <c r="HK17" s="62" t="s">
        <v>189</v>
      </c>
      <c r="HL17" s="62" t="s">
        <v>576</v>
      </c>
      <c r="HM17" s="129" t="s">
        <v>577</v>
      </c>
      <c r="HO17" s="10"/>
      <c r="HP17" s="9"/>
      <c r="HQ17" s="9"/>
      <c r="ID17" s="9" t="s">
        <v>1291</v>
      </c>
      <c r="IF17" s="9" t="s">
        <v>85</v>
      </c>
      <c r="IG17" s="110" t="str">
        <f t="shared" si="6"/>
        <v>LB844</v>
      </c>
      <c r="IH17" s="9" t="s">
        <v>649</v>
      </c>
      <c r="II17" s="9" t="s">
        <v>650</v>
      </c>
      <c r="IJ17" s="9" t="s">
        <v>651</v>
      </c>
      <c r="IK17" s="9" t="s">
        <v>652</v>
      </c>
      <c r="IN17" s="9" t="s">
        <v>20</v>
      </c>
      <c r="IO17" s="9" t="s">
        <v>876</v>
      </c>
      <c r="IP17" t="s">
        <v>859</v>
      </c>
      <c r="IQ17" s="110" t="s">
        <v>28</v>
      </c>
      <c r="IU17" t="s">
        <v>24</v>
      </c>
      <c r="IV17" t="s">
        <v>417</v>
      </c>
      <c r="IW17" t="s">
        <v>16</v>
      </c>
      <c r="IX17" t="s">
        <v>896</v>
      </c>
      <c r="JY17" s="11"/>
      <c r="JZ17" s="220" t="s">
        <v>7</v>
      </c>
      <c r="KA17" s="216" t="str" cm="1">
        <f t="array" ref="KA17">IFERROR(INDEX($AG$1:$AG$55,MATCH(KA$6&amp;$JZ17,$Z$1:$Z$55&amp;$AE$1:$AE$55,0)),"")</f>
        <v/>
      </c>
      <c r="KB17" s="216" t="str" cm="1">
        <f t="array" ref="KB17">IFERROR(INDEX($AG$1:$AG$55,MATCH(KB$6&amp;$JZ17,$Z$1:$Z$55&amp;$AE$1:$AE$55,0)),"")</f>
        <v/>
      </c>
      <c r="KC17" s="216" t="str" cm="1">
        <f t="array" ref="KC17">IFERROR(INDEX($AG$1:$AG$55,MATCH(KC$6&amp;$JZ17,$Z$1:$Z$55&amp;$AE$1:$AE$55,0)),"")</f>
        <v/>
      </c>
      <c r="KD17" s="216" t="str" cm="1">
        <f t="array" ref="KD17">IFERROR(INDEX($AG$1:$AG$55,MATCH(KD$6&amp;$JZ17,$Z$1:$Z$55&amp;$AE$1:$AE$55,0)),"")</f>
        <v/>
      </c>
      <c r="KE17" s="216" t="str" cm="1">
        <f t="array" ref="KE17">IFERROR(INDEX($AG$1:$AG$55,MATCH(KE$6&amp;$JZ17,$Z$1:$Z$55&amp;$AE$1:$AE$55,0)),"")</f>
        <v/>
      </c>
      <c r="KF17" s="216" t="str" cm="1">
        <f t="array" ref="KF17">IFERROR(INDEX($AG$1:$AG$55,MATCH(KF$6&amp;$JZ17,$Z$1:$Z$55&amp;$AE$1:$AE$55,0)),"")</f>
        <v/>
      </c>
      <c r="KG17" s="216" t="str" cm="1">
        <f t="array" ref="KG17">IFERROR(INDEX($AG$1:$AG$55,MATCH(KG$6&amp;$JZ17,$Z$1:$Z$55&amp;$AE$1:$AE$55,0)),"")</f>
        <v/>
      </c>
      <c r="KH17" s="216" t="str" cm="1">
        <f t="array" ref="KH17">IFERROR(INDEX($AG$1:$AG$55,MATCH(KH$6&amp;$JZ17,$Z$1:$Z$55&amp;$AE$1:$AE$55,0)),"")</f>
        <v/>
      </c>
      <c r="KI17" s="216" t="str" cm="1">
        <f t="array" ref="KI17">IFERROR(INDEX($AG$1:$AG$55,MATCH(KI$6&amp;$JZ17,$Z$1:$Z$55&amp;$AE$1:$AE$55,0)),"")</f>
        <v/>
      </c>
      <c r="KJ17" s="216" t="str" cm="1">
        <f t="array" ref="KJ17">IFERROR(INDEX($AG$1:$AG$55,MATCH(KJ$6&amp;$JZ17,$Z$1:$Z$55&amp;$AE$1:$AE$55,0)),"")</f>
        <v/>
      </c>
      <c r="KK17" s="216" t="str" cm="1">
        <f t="array" ref="KK17">IFERROR(INDEX($AG$1:$AG$55,MATCH(KK$6&amp;$JZ17,$Z$1:$Z$55&amp;$AE$1:$AE$55,0)),"")</f>
        <v/>
      </c>
      <c r="KL17" s="216" t="str" cm="1">
        <f t="array" ref="KL17">IFERROR(INDEX($AG$1:$AG$55,MATCH(KL$6&amp;$JZ17,$Z$1:$Z$55&amp;$AE$1:$AE$55,0)),"")</f>
        <v/>
      </c>
      <c r="KM17" s="224" t="str" cm="1">
        <f t="array" ref="KM17">IFERROR(INDEX($AG$1:$AG$55,MATCH(KM$6&amp;$JZ17,$Z$1:$Z$55&amp;$AE$1:$AE$55,0)),"")</f>
        <v/>
      </c>
    </row>
    <row r="18" spans="1:299" x14ac:dyDescent="0.3">
      <c r="A18" s="54">
        <v>1</v>
      </c>
      <c r="B18" s="190"/>
      <c r="C18" s="190"/>
      <c r="D18" s="67"/>
      <c r="E18" s="190"/>
      <c r="F18" s="67"/>
      <c r="G18" s="191"/>
      <c r="H18" s="33" t="str">
        <f t="shared" si="8"/>
        <v/>
      </c>
      <c r="I18" s="67"/>
      <c r="J18" s="67"/>
      <c r="L18" s="67"/>
      <c r="M18" s="67"/>
      <c r="Z18" t="e" cm="1">
        <f t="array" ref="Z18">CONCATENATE(INDEX($CF$3:$CF$23,MATCH(AE18&amp;AH18,$BT$3:$BT$23&amp;$CC$3:$CC$23,0)),"CUSTOM")</f>
        <v>#N/A</v>
      </c>
      <c r="AA18" t="e">
        <f>INDEX(prd!$BF$5:$BF$40,MATCH(Outfitter!Z18,prd!$BD$5:$BD$40,0))</f>
        <v>#N/A</v>
      </c>
      <c r="AB18" t="e">
        <f>INDEX(prd!$BD$5:$BQ$40,MATCH(Outfitter!$Z18,prd!$BD$5:$BD$40,0),MATCH(Outfitter!$L$1,prd!$BD$5:$BQ$5,0))</f>
        <v>#N/A</v>
      </c>
      <c r="AC18" t="e">
        <f>INDEX(prd!$BG$5:$BG$40,MATCH(Outfitter!Z18,prd!$BD$5:$BD$40,0))</f>
        <v>#N/A</v>
      </c>
      <c r="AD18">
        <v>11</v>
      </c>
      <c r="AE18" s="25" t="e">
        <f t="shared" si="9"/>
        <v>#N/A</v>
      </c>
      <c r="AF18" s="138" t="e">
        <f t="shared" si="10"/>
        <v>#N/A</v>
      </c>
      <c r="AG18" s="25" t="e">
        <f t="shared" si="11"/>
        <v>#N/A</v>
      </c>
      <c r="AH18" s="25" t="str">
        <f t="shared" si="12"/>
        <v/>
      </c>
      <c r="AI18" s="25" t="str">
        <f t="shared" si="13"/>
        <v/>
      </c>
      <c r="AJ18" s="25" t="str">
        <f t="shared" si="14"/>
        <v/>
      </c>
      <c r="AK18" s="25" t="str">
        <f t="shared" si="15"/>
        <v>Cosmic Calamity</v>
      </c>
      <c r="AL18" s="25">
        <f>IF(ISERROR(IF(C18="","",MATCH(C18,$ES$4:$ES$35,0)))=TRUE,1,0)</f>
        <v>0</v>
      </c>
      <c r="AM18" s="25">
        <f>IF(ISERROR(IF(E18="","", MATCH(E18,$FR$4:$FR$10,0)))=TRUE,1,0)</f>
        <v>0</v>
      </c>
      <c r="AN18" s="25">
        <f>IF(ISERROR(IF(G18="","", MATCH(G18,$HZ$4:$HZ$12,0)))=TRUE,1,0)</f>
        <v>0</v>
      </c>
      <c r="AO18" s="25" t="b">
        <f t="shared" si="16"/>
        <v>0</v>
      </c>
      <c r="AP18" s="138" t="str">
        <f t="shared" si="17"/>
        <v/>
      </c>
      <c r="AQ18" s="138" t="str" cm="1">
        <f t="array" ref="AQ18">IFERROR(IF(AH18&lt;&gt; "LS",INDEX($IQ$1:$IQ$32,MATCH(AH18&amp;AK18,$IN$1:$IN$32&amp;$IO$1:$IO$32,0)), IF(AH18="LS",INDEX($IR$34:$IR$72,MATCH(AH18&amp;AK18&amp;AJ18&amp;BA18,$IN$34:$IN$72&amp;$IO$34:$IO$72&amp;$IP$34:$IP$72&amp;$IQ$34:$IQ$72,0)),"el-CRASH-O")),"")</f>
        <v/>
      </c>
      <c r="AR18" s="138" t="str" cm="1">
        <f t="array" ref="AR18">IFERROR(IF(OR(AH18="LB",AH18="LF"),INDEX($IW$3:$IW$11,MATCH(AJ18,$IV$3:$IV$11,0)),IF(AH18="LT",INDEX($IX$15:$IX$42,MATCH(AH18&amp;AK18&amp;AJ18,$IU$15:$IU$42&amp;$IV$15:$IV$42&amp;$IW$15:$IW$42,0)),IF(AND(AH18="LS", AK18="P86C"),"WM",""))),"")</f>
        <v/>
      </c>
      <c r="AS18" s="25" cm="1">
        <f t="array" ref="AS18">IFERROR(IF(AH18 ="LB",ROUND(INDEX(prd!$CG$3:$CG$35,MATCH(Outfitter!$AJ18&amp;Outfitter!$AF$24,prd!$CD$3:$CD$35&amp;prd!$CE$3:$CE$35,0))*AB18/AA18,2),0),0)</f>
        <v>0</v>
      </c>
      <c r="AT18" s="25">
        <f>IFERROR(IF(AH18="LB",SUM(#REF!,#REF!,AS18),IF(AH18="LT",SUM(#REF!),IF(AH18="LF",SUM(#REF!),IF(AH18="LS",SUM(#REF!),0)))),0)</f>
        <v>0</v>
      </c>
      <c r="AU18" s="79" t="str">
        <f t="shared" si="18"/>
        <v/>
      </c>
      <c r="AV18" s="25" t="str">
        <f>IF(AH18="LB",INDEX(Outfitter!$FX$3:$FX$13,MATCH(Outfitter!AK18,Outfitter!$FY$3:$FY$13,0)),"")</f>
        <v/>
      </c>
      <c r="AW18" s="214" t="str">
        <f t="shared" si="19"/>
        <v/>
      </c>
      <c r="AX18" s="25">
        <f t="shared" si="32"/>
        <v>0</v>
      </c>
      <c r="AY18" s="25">
        <f t="shared" si="20"/>
        <v>0</v>
      </c>
      <c r="AZ18" s="25">
        <f t="shared" si="21"/>
        <v>0</v>
      </c>
      <c r="BA18" s="188" t="str">
        <f t="shared" si="22"/>
        <v>3F</v>
      </c>
      <c r="BB18" s="79" t="str">
        <f t="shared" si="23"/>
        <v xml:space="preserve"> Badge</v>
      </c>
      <c r="BC18" s="79"/>
      <c r="BD18" s="79"/>
      <c r="BE18" s="187" t="e">
        <f t="shared" si="24"/>
        <v>#N/A</v>
      </c>
      <c r="BF18" s="25">
        <f t="shared" si="25"/>
        <v>0</v>
      </c>
      <c r="BG18" s="25">
        <f t="shared" si="26"/>
        <v>0</v>
      </c>
      <c r="BH18" s="25">
        <f t="shared" si="27"/>
        <v>0</v>
      </c>
      <c r="BI18" s="25">
        <f t="shared" si="28"/>
        <v>0</v>
      </c>
      <c r="BJ18" s="9">
        <f t="shared" si="29"/>
        <v>0</v>
      </c>
      <c r="BK18" s="9">
        <f t="shared" si="30"/>
        <v>0</v>
      </c>
      <c r="BL18" t="str">
        <f t="shared" si="31"/>
        <v/>
      </c>
      <c r="BN18" s="18" t="s">
        <v>1418</v>
      </c>
      <c r="BS18" s="12" t="s">
        <v>230</v>
      </c>
      <c r="BT18" s="12" t="s">
        <v>17</v>
      </c>
      <c r="CB18" s="12" t="s">
        <v>230</v>
      </c>
      <c r="CC18" s="12" t="s">
        <v>24</v>
      </c>
      <c r="CF18" s="18" t="s">
        <v>230</v>
      </c>
      <c r="CG18" t="s">
        <v>264</v>
      </c>
      <c r="CH18" t="s">
        <v>264</v>
      </c>
      <c r="CI18" t="s">
        <v>264</v>
      </c>
      <c r="CJ18" t="s">
        <v>250</v>
      </c>
      <c r="CK18" t="s">
        <v>160</v>
      </c>
      <c r="CN18" s="15" t="s">
        <v>301</v>
      </c>
      <c r="CO18" s="92" t="s">
        <v>302</v>
      </c>
      <c r="CP18" s="14" t="s">
        <v>286</v>
      </c>
      <c r="CQ18" s="14" t="s">
        <v>76</v>
      </c>
      <c r="CR18" s="6" t="str">
        <f t="shared" si="0"/>
        <v>K4: Green Burst</v>
      </c>
      <c r="CT18" s="3" t="str">
        <f t="shared" si="1"/>
        <v>Wrap</v>
      </c>
      <c r="CU18" s="12" t="s">
        <v>17</v>
      </c>
      <c r="CV18" s="13" t="s">
        <v>333</v>
      </c>
      <c r="CW18" s="129" t="str">
        <f t="shared" si="2"/>
        <v>0G: Black Cortex</v>
      </c>
      <c r="DA18" s="9" t="s">
        <v>15</v>
      </c>
      <c r="DB18" s="9" t="s">
        <v>177</v>
      </c>
      <c r="DC18" t="s">
        <v>1080</v>
      </c>
      <c r="DE18" s="7" t="s">
        <v>406</v>
      </c>
      <c r="DJ18" s="12" t="s">
        <v>15</v>
      </c>
      <c r="DK18" s="12" t="s">
        <v>24</v>
      </c>
      <c r="DL18" s="12" t="s">
        <v>418</v>
      </c>
      <c r="DM18" s="14" t="s">
        <v>414</v>
      </c>
      <c r="DN18" s="129" t="s">
        <v>1272</v>
      </c>
      <c r="DR18" s="12" t="s">
        <v>18</v>
      </c>
      <c r="DS18" s="12" t="s">
        <v>24</v>
      </c>
      <c r="DT18" s="12" t="s">
        <v>413</v>
      </c>
      <c r="DU18" s="12" t="s">
        <v>397</v>
      </c>
      <c r="DV18" s="95"/>
      <c r="DX18" s="14" t="s">
        <v>70</v>
      </c>
      <c r="DY18" s="12" t="s">
        <v>147</v>
      </c>
      <c r="DZ18" s="12" t="s">
        <v>463</v>
      </c>
      <c r="EC18" s="14" t="s">
        <v>15</v>
      </c>
      <c r="ED18" s="12" t="s">
        <v>66</v>
      </c>
      <c r="EE18" s="12" t="s">
        <v>88</v>
      </c>
      <c r="EF18" s="129" t="s">
        <v>505</v>
      </c>
      <c r="FC18" s="14" t="s">
        <v>49</v>
      </c>
      <c r="FD18" s="14" t="s">
        <v>22</v>
      </c>
      <c r="FE18" s="129" t="s">
        <v>519</v>
      </c>
      <c r="FV18" t="s">
        <v>533</v>
      </c>
      <c r="GD18" s="14" t="s">
        <v>16</v>
      </c>
      <c r="GE18" s="9" t="s">
        <v>536</v>
      </c>
      <c r="GF18" s="132" t="str">
        <f t="shared" si="3"/>
        <v>Less Mount / Holder</v>
      </c>
      <c r="GG18" s="9"/>
      <c r="GN18" s="12" t="s">
        <v>561</v>
      </c>
      <c r="GO18" s="14" t="s">
        <v>23</v>
      </c>
      <c r="GP18" s="12" t="s">
        <v>555</v>
      </c>
      <c r="GQ18" s="133" t="str">
        <f t="shared" si="34"/>
        <v>Clsc Ludwig Legs 9.5mm</v>
      </c>
      <c r="GR18" s="12"/>
      <c r="GY18" s="12" t="s">
        <v>144</v>
      </c>
      <c r="GZ18" s="14" t="s">
        <v>22</v>
      </c>
      <c r="HA18" s="12" t="s">
        <v>424</v>
      </c>
      <c r="HB18" s="131" t="str">
        <f t="shared" si="33"/>
        <v>Triad Bracket 12mm</v>
      </c>
      <c r="HC18" s="12"/>
      <c r="HD18" s="12"/>
      <c r="HK18" s="62" t="s">
        <v>193</v>
      </c>
      <c r="HL18" s="62" t="s">
        <v>576</v>
      </c>
      <c r="HM18" s="129" t="s">
        <v>577</v>
      </c>
      <c r="HP18" s="10"/>
      <c r="ID18" s="9" t="s">
        <v>1292</v>
      </c>
      <c r="IF18" s="9" t="s">
        <v>88</v>
      </c>
      <c r="IG18" s="110" t="str">
        <f t="shared" si="6"/>
        <v>LB864</v>
      </c>
      <c r="IH18" s="9" t="s">
        <v>653</v>
      </c>
      <c r="II18" s="9" t="s">
        <v>654</v>
      </c>
      <c r="IJ18" s="9" t="s">
        <v>655</v>
      </c>
      <c r="IK18" s="9" t="s">
        <v>656</v>
      </c>
      <c r="IN18" s="9" t="s">
        <v>24</v>
      </c>
      <c r="IO18" s="9" t="s">
        <v>413</v>
      </c>
      <c r="IP18" t="s">
        <v>86</v>
      </c>
      <c r="IQ18" s="108" t="s">
        <v>47</v>
      </c>
      <c r="IU18" t="s">
        <v>24</v>
      </c>
      <c r="IV18" t="s">
        <v>417</v>
      </c>
      <c r="IW18" t="s">
        <v>22</v>
      </c>
      <c r="IX18" t="s">
        <v>897</v>
      </c>
      <c r="JY18" s="11"/>
      <c r="JZ18" s="220" t="s">
        <v>29</v>
      </c>
      <c r="KA18" s="216" t="str" cm="1">
        <f t="array" ref="KA18">IFERROR(INDEX($AG$1:$AG$55,MATCH(KA$6&amp;$JZ18,$Z$1:$Z$55&amp;$AE$1:$AE$55,0)),"")</f>
        <v/>
      </c>
      <c r="KB18" s="216" t="str" cm="1">
        <f t="array" ref="KB18">IFERROR(INDEX($AG$1:$AG$55,MATCH(KB$6&amp;$JZ18,$Z$1:$Z$55&amp;$AE$1:$AE$55,0)),"")</f>
        <v/>
      </c>
      <c r="KC18" s="216" t="str" cm="1">
        <f t="array" ref="KC18">IFERROR(INDEX($AG$1:$AG$55,MATCH(KC$6&amp;$JZ18,$Z$1:$Z$55&amp;$AE$1:$AE$55,0)),"")</f>
        <v/>
      </c>
      <c r="KD18" s="216" t="str" cm="1">
        <f t="array" ref="KD18">IFERROR(INDEX($AG$1:$AG$55,MATCH(KD$6&amp;$JZ18,$Z$1:$Z$55&amp;$AE$1:$AE$55,0)),"")</f>
        <v/>
      </c>
      <c r="KE18" s="216" t="str" cm="1">
        <f t="array" ref="KE18">IFERROR(INDEX($AG$1:$AG$55,MATCH(KE$6&amp;$JZ18,$Z$1:$Z$55&amp;$AE$1:$AE$55,0)),"")</f>
        <v/>
      </c>
      <c r="KF18" s="216" t="str" cm="1">
        <f t="array" ref="KF18">IFERROR(INDEX($AG$1:$AG$55,MATCH(KF$6&amp;$JZ18,$Z$1:$Z$55&amp;$AE$1:$AE$55,0)),"")</f>
        <v/>
      </c>
      <c r="KG18" s="216" t="str" cm="1">
        <f t="array" ref="KG18">IFERROR(INDEX($AG$1:$AG$55,MATCH(KG$6&amp;$JZ18,$Z$1:$Z$55&amp;$AE$1:$AE$55,0)),"")</f>
        <v/>
      </c>
      <c r="KH18" s="216" t="str" cm="1">
        <f t="array" ref="KH18">IFERROR(INDEX($AG$1:$AG$55,MATCH(KH$6&amp;$JZ18,$Z$1:$Z$55&amp;$AE$1:$AE$55,0)),"")</f>
        <v/>
      </c>
      <c r="KI18" s="216" t="str" cm="1">
        <f t="array" ref="KI18">IFERROR(INDEX($AG$1:$AG$55,MATCH(KI$6&amp;$JZ18,$Z$1:$Z$55&amp;$AE$1:$AE$55,0)),"")</f>
        <v/>
      </c>
      <c r="KJ18" s="216" t="str" cm="1">
        <f t="array" ref="KJ18">IFERROR(INDEX($AG$1:$AG$55,MATCH(KJ$6&amp;$JZ18,$Z$1:$Z$55&amp;$AE$1:$AE$55,0)),"")</f>
        <v/>
      </c>
      <c r="KK18" s="216" t="str" cm="1">
        <f t="array" ref="KK18">IFERROR(INDEX($AG$1:$AG$55,MATCH(KK$6&amp;$JZ18,$Z$1:$Z$55&amp;$AE$1:$AE$55,0)),"")</f>
        <v/>
      </c>
      <c r="KL18" s="216" t="str" cm="1">
        <f t="array" ref="KL18">IFERROR(INDEX($AG$1:$AG$55,MATCH(KL$6&amp;$JZ18,$Z$1:$Z$55&amp;$AE$1:$AE$55,0)),"")</f>
        <v/>
      </c>
      <c r="KM18" s="224" t="str" cm="1">
        <f t="array" ref="KM18">IFERROR(INDEX($AG$1:$AG$55,MATCH(KM$6&amp;$JZ18,$Z$1:$Z$55&amp;$AE$1:$AE$55,0)),"")</f>
        <v/>
      </c>
    </row>
    <row r="19" spans="1:299" x14ac:dyDescent="0.3">
      <c r="A19" s="54">
        <v>1</v>
      </c>
      <c r="B19" s="190"/>
      <c r="C19" s="190"/>
      <c r="D19" s="67"/>
      <c r="E19" s="190"/>
      <c r="F19" s="67"/>
      <c r="G19" s="191"/>
      <c r="H19" s="33" t="str">
        <f t="shared" si="8"/>
        <v/>
      </c>
      <c r="I19" s="67"/>
      <c r="J19" s="67"/>
      <c r="L19" s="67"/>
      <c r="M19" s="67"/>
      <c r="Z19" t="e" cm="1">
        <f t="array" ref="Z19">CONCATENATE(INDEX($CF$3:$CF$23,MATCH(AE19&amp;AH19,$BT$3:$BT$23&amp;$CC$3:$CC$23,0)),"CUSTOM")</f>
        <v>#N/A</v>
      </c>
      <c r="AA19" t="e">
        <f>INDEX(prd!$BF$5:$BF$40,MATCH(Outfitter!Z19,prd!$BD$5:$BD$40,0))</f>
        <v>#N/A</v>
      </c>
      <c r="AB19" t="e">
        <f>INDEX(prd!$BD$5:$BQ$40,MATCH(Outfitter!$Z19,prd!$BD$5:$BD$40,0),MATCH(Outfitter!$L$1,prd!$BD$5:$BQ$5,0))</f>
        <v>#N/A</v>
      </c>
      <c r="AC19" t="e">
        <f>INDEX(prd!$BG$5:$BG$40,MATCH(Outfitter!Z19,prd!$BD$5:$BD$40,0))</f>
        <v>#N/A</v>
      </c>
      <c r="AD19">
        <v>12</v>
      </c>
      <c r="AE19" s="25" t="e">
        <f t="shared" si="9"/>
        <v>#N/A</v>
      </c>
      <c r="AF19" s="138" t="e">
        <f t="shared" si="10"/>
        <v>#N/A</v>
      </c>
      <c r="AG19" s="25" t="e">
        <f t="shared" si="11"/>
        <v>#N/A</v>
      </c>
      <c r="AH19" s="25" t="str">
        <f t="shared" si="12"/>
        <v/>
      </c>
      <c r="AI19" s="25" t="str">
        <f t="shared" si="13"/>
        <v/>
      </c>
      <c r="AJ19" s="25" t="str">
        <f t="shared" si="14"/>
        <v/>
      </c>
      <c r="AK19" s="25" t="str">
        <f t="shared" si="15"/>
        <v>Cosmic Calamity</v>
      </c>
      <c r="AL19" s="25">
        <f>IF(ISERROR(IF(C19="","",MATCH(C19,$ET$4:$ET$35,0)))=TRUE,1,0)</f>
        <v>0</v>
      </c>
      <c r="AM19" s="25">
        <f>IF(ISERROR(IF(E19="","", MATCH(E19,$FS$4:$FS$10,0)))=TRUE,1,0)</f>
        <v>0</v>
      </c>
      <c r="AN19" s="25">
        <f>IF(ISERROR(IF(G19="","", MATCH(G19,$IA$4:$IA$12,0)))=TRUE,1,0)</f>
        <v>0</v>
      </c>
      <c r="AO19" s="25" t="b">
        <f t="shared" si="16"/>
        <v>0</v>
      </c>
      <c r="AP19" s="138" t="str">
        <f t="shared" si="17"/>
        <v/>
      </c>
      <c r="AQ19" s="138" t="str" cm="1">
        <f t="array" ref="AQ19">IFERROR(IF(AH19&lt;&gt; "LS",INDEX($IQ$1:$IQ$32,MATCH(AH19&amp;AK19,$IN$1:$IN$32&amp;$IO$1:$IO$32,0)), IF(AH19="LS",INDEX($IR$34:$IR$72,MATCH(AH19&amp;AK19&amp;AJ19&amp;BA19,$IN$34:$IN$72&amp;$IO$34:$IO$72&amp;$IP$34:$IP$72&amp;$IQ$34:$IQ$72,0)),"el-CRASH-O")),"")</f>
        <v/>
      </c>
      <c r="AR19" s="138" t="str" cm="1">
        <f t="array" ref="AR19">IFERROR(IF(OR(AH19="LB",AH19="LF"),INDEX($IW$3:$IW$11,MATCH(AJ19,$IV$3:$IV$11,0)),IF(AH19="LT",INDEX($IX$15:$IX$42,MATCH(AH19&amp;AK19&amp;AJ19,$IU$15:$IU$42&amp;$IV$15:$IV$42&amp;$IW$15:$IW$42,0)),IF(AND(AH19="LS", AK19="P86C"),"WM",""))),"")</f>
        <v/>
      </c>
      <c r="AS19" s="25" cm="1">
        <f t="array" ref="AS19">IFERROR(IF(AH19 ="LB",ROUND(INDEX(prd!$CG$3:$CG$35,MATCH(Outfitter!$AJ19&amp;Outfitter!$AF$24,prd!$CD$3:$CD$35&amp;prd!$CE$3:$CE$35,0))*AB19/AA19,2),0),0)</f>
        <v>0</v>
      </c>
      <c r="AT19" s="25">
        <f>IFERROR(IF(AH19="LB",SUM(#REF!,#REF!,AS19),IF(AH19="LT",SUM(#REF!),IF(AH19="LF",SUM(#REF!),IF(AH19="LS",SUM(#REF!),0)))),0)</f>
        <v>0</v>
      </c>
      <c r="AU19" s="79" t="str">
        <f t="shared" si="18"/>
        <v/>
      </c>
      <c r="AV19" s="25" t="str">
        <f>IF(AH19="LB",INDEX(Outfitter!$FX$3:$FX$13,MATCH(Outfitter!AK19,Outfitter!$FY$3:$FY$13,0)),"")</f>
        <v/>
      </c>
      <c r="AW19" s="214" t="str">
        <f t="shared" si="19"/>
        <v/>
      </c>
      <c r="AX19" s="25">
        <f t="shared" si="32"/>
        <v>0</v>
      </c>
      <c r="AY19" s="25">
        <f t="shared" si="20"/>
        <v>0</v>
      </c>
      <c r="AZ19" s="25">
        <f t="shared" si="21"/>
        <v>0</v>
      </c>
      <c r="BA19" s="188" t="str">
        <f t="shared" si="22"/>
        <v>3F</v>
      </c>
      <c r="BB19" s="79" t="str">
        <f t="shared" si="23"/>
        <v xml:space="preserve"> Badge</v>
      </c>
      <c r="BC19" s="79"/>
      <c r="BD19" s="79"/>
      <c r="BE19" s="187" t="e">
        <f t="shared" si="24"/>
        <v>#N/A</v>
      </c>
      <c r="BF19" s="25">
        <f t="shared" si="25"/>
        <v>0</v>
      </c>
      <c r="BG19" s="25">
        <f t="shared" si="26"/>
        <v>0</v>
      </c>
      <c r="BH19" s="25">
        <f t="shared" si="27"/>
        <v>0</v>
      </c>
      <c r="BI19" s="25">
        <f t="shared" si="28"/>
        <v>0</v>
      </c>
      <c r="BJ19" s="9">
        <f t="shared" si="29"/>
        <v>0</v>
      </c>
      <c r="BK19" s="9">
        <f t="shared" si="30"/>
        <v>0</v>
      </c>
      <c r="BL19" t="str">
        <f t="shared" si="31"/>
        <v/>
      </c>
      <c r="BN19" s="242" t="s">
        <v>1419</v>
      </c>
      <c r="BS19" s="12" t="s">
        <v>231</v>
      </c>
      <c r="BT19" s="12" t="s">
        <v>17</v>
      </c>
      <c r="CB19" s="12" t="s">
        <v>231</v>
      </c>
      <c r="CC19" s="12" t="s">
        <v>52</v>
      </c>
      <c r="CF19" s="18" t="s">
        <v>231</v>
      </c>
      <c r="CG19" t="s">
        <v>265</v>
      </c>
      <c r="CH19" t="s">
        <v>265</v>
      </c>
      <c r="CI19" t="s">
        <v>265</v>
      </c>
      <c r="CJ19" t="s">
        <v>250</v>
      </c>
      <c r="CK19" t="s">
        <v>172</v>
      </c>
      <c r="CN19" s="15" t="s">
        <v>303</v>
      </c>
      <c r="CO19" s="86" t="s">
        <v>304</v>
      </c>
      <c r="CP19" s="14" t="s">
        <v>286</v>
      </c>
      <c r="CQ19" s="14" t="s">
        <v>76</v>
      </c>
      <c r="CR19" s="6" t="str">
        <f t="shared" si="0"/>
        <v>HB: Heritage Blue</v>
      </c>
      <c r="CT19" s="3" t="str">
        <f t="shared" si="1"/>
        <v>Wrap</v>
      </c>
      <c r="CU19" s="12" t="s">
        <v>19</v>
      </c>
      <c r="CV19" s="13" t="s">
        <v>333</v>
      </c>
      <c r="CW19" s="129" t="str">
        <f t="shared" si="2"/>
        <v>0G: Black Cortex</v>
      </c>
      <c r="DA19" s="9" t="s">
        <v>15</v>
      </c>
      <c r="DB19" s="9" t="s">
        <v>177</v>
      </c>
      <c r="DC19" t="s">
        <v>1344</v>
      </c>
      <c r="DE19" s="7" t="s">
        <v>407</v>
      </c>
      <c r="DJ19" s="12" t="s">
        <v>15</v>
      </c>
      <c r="DK19" s="12" t="s">
        <v>24</v>
      </c>
      <c r="DL19" s="12" t="s">
        <v>413</v>
      </c>
      <c r="DM19" s="14" t="s">
        <v>399</v>
      </c>
      <c r="DN19" s="129" t="s">
        <v>1330</v>
      </c>
      <c r="DR19" s="12" t="s">
        <v>15</v>
      </c>
      <c r="DS19" s="12" t="s">
        <v>24</v>
      </c>
      <c r="DT19" s="12" t="s">
        <v>415</v>
      </c>
      <c r="DU19" s="12" t="s">
        <v>399</v>
      </c>
      <c r="DV19" s="95"/>
      <c r="DX19" s="14" t="s">
        <v>70</v>
      </c>
      <c r="DY19" s="12" t="s">
        <v>148</v>
      </c>
      <c r="DZ19" s="12" t="s">
        <v>464</v>
      </c>
      <c r="EC19" s="14" t="s">
        <v>15</v>
      </c>
      <c r="ED19" s="12" t="s">
        <v>66</v>
      </c>
      <c r="EE19" s="12" t="s">
        <v>90</v>
      </c>
      <c r="EF19" s="129" t="s">
        <v>506</v>
      </c>
      <c r="FC19" s="14" t="s">
        <v>49</v>
      </c>
      <c r="FD19" s="14" t="s">
        <v>518</v>
      </c>
      <c r="FE19" s="129" t="s">
        <v>1337</v>
      </c>
      <c r="FV19" t="s">
        <v>534</v>
      </c>
      <c r="GD19" s="14" t="s">
        <v>16</v>
      </c>
      <c r="GE19" s="12" t="s">
        <v>537</v>
      </c>
      <c r="GF19" s="132" t="str">
        <f t="shared" ref="GF19:GF25" si="36">INDEX($FZ$3:$FZ$14,MATCH(GE19,FY$3:FY$14,0))</f>
        <v>Ludwig 'Diamond' Bracket</v>
      </c>
      <c r="GG19" s="12"/>
      <c r="GN19" s="12" t="s">
        <v>561</v>
      </c>
      <c r="GO19" s="14" t="s">
        <v>23</v>
      </c>
      <c r="GP19" s="12" t="s">
        <v>556</v>
      </c>
      <c r="GQ19" s="133" t="str">
        <f t="shared" si="34"/>
        <v>No Legs or Drilling</v>
      </c>
      <c r="GR19" s="12"/>
      <c r="GY19" s="12" t="s">
        <v>144</v>
      </c>
      <c r="GZ19" s="14" t="s">
        <v>22</v>
      </c>
      <c r="HA19" s="12" t="s">
        <v>418</v>
      </c>
      <c r="HB19" s="131" t="str">
        <f t="shared" si="33"/>
        <v>Vibraband w/Triad 12mm</v>
      </c>
      <c r="HC19" s="12"/>
      <c r="HD19" s="12"/>
      <c r="HK19" s="62" t="s">
        <v>198</v>
      </c>
      <c r="HL19" s="62" t="s">
        <v>576</v>
      </c>
      <c r="HM19" s="129" t="s">
        <v>577</v>
      </c>
      <c r="HP19" s="9"/>
      <c r="ID19" s="9" t="s">
        <v>1293</v>
      </c>
      <c r="IF19" s="9" t="s">
        <v>90</v>
      </c>
      <c r="IG19" s="110" t="str">
        <f t="shared" si="6"/>
        <v>LB884</v>
      </c>
      <c r="IH19" s="9" t="s">
        <v>657</v>
      </c>
      <c r="II19" s="9" t="s">
        <v>658</v>
      </c>
      <c r="IJ19" s="9" t="s">
        <v>659</v>
      </c>
      <c r="IK19" s="9" t="s">
        <v>660</v>
      </c>
      <c r="IN19" s="9" t="s">
        <v>24</v>
      </c>
      <c r="IO19" s="12" t="s">
        <v>419</v>
      </c>
      <c r="IP19" t="s">
        <v>860</v>
      </c>
      <c r="IQ19" s="108" t="s">
        <v>17</v>
      </c>
      <c r="IU19" t="s">
        <v>24</v>
      </c>
      <c r="IV19" t="s">
        <v>417</v>
      </c>
      <c r="IW19" t="s">
        <v>25</v>
      </c>
      <c r="IX19" t="s">
        <v>898</v>
      </c>
      <c r="JY19" s="11"/>
      <c r="JZ19" s="220" t="s">
        <v>1264</v>
      </c>
      <c r="KA19" s="216" t="str" cm="1">
        <f t="array" ref="KA19">IFERROR(INDEX($AG$1:$AG$55,MATCH(KA$6&amp;$JZ19,$Z$1:$Z$55&amp;$AE$1:$AE$55,0)),"")</f>
        <v/>
      </c>
      <c r="KB19" s="216" t="str" cm="1">
        <f t="array" ref="KB19">IFERROR(INDEX($AG$1:$AG$55,MATCH(KB$6&amp;$JZ19,$Z$1:$Z$55&amp;$AE$1:$AE$55,0)),"")</f>
        <v/>
      </c>
      <c r="KC19" s="216" t="str" cm="1">
        <f t="array" ref="KC19">IFERROR(INDEX($AG$1:$AG$55,MATCH(KC$6&amp;$JZ19,$Z$1:$Z$55&amp;$AE$1:$AE$55,0)),"")</f>
        <v/>
      </c>
      <c r="KD19" s="216" t="str" cm="1">
        <f t="array" ref="KD19">IFERROR(INDEX($AG$1:$AG$55,MATCH(KD$6&amp;$JZ19,$Z$1:$Z$55&amp;$AE$1:$AE$55,0)),"")</f>
        <v/>
      </c>
      <c r="KE19" s="216" t="str" cm="1">
        <f t="array" ref="KE19">IFERROR(INDEX($AG$1:$AG$55,MATCH(KE$6&amp;$JZ19,$Z$1:$Z$55&amp;$AE$1:$AE$55,0)),"")</f>
        <v/>
      </c>
      <c r="KF19" s="216" t="str" cm="1">
        <f t="array" ref="KF19">IFERROR(INDEX($AG$1:$AG$55,MATCH(KF$6&amp;$JZ19,$Z$1:$Z$55&amp;$AE$1:$AE$55,0)),"")</f>
        <v/>
      </c>
      <c r="KG19" s="216" t="str" cm="1">
        <f t="array" ref="KG19">IFERROR(INDEX($AG$1:$AG$55,MATCH(KG$6&amp;$JZ19,$Z$1:$Z$55&amp;$AE$1:$AE$55,0)),"")</f>
        <v/>
      </c>
      <c r="KH19" s="216" t="str" cm="1">
        <f t="array" ref="KH19">IFERROR(INDEX($AG$1:$AG$55,MATCH(KH$6&amp;$JZ19,$Z$1:$Z$55&amp;$AE$1:$AE$55,0)),"")</f>
        <v/>
      </c>
      <c r="KI19" s="216" t="str" cm="1">
        <f t="array" ref="KI19">IFERROR(INDEX($AG$1:$AG$55,MATCH(KI$6&amp;$JZ19,$Z$1:$Z$55&amp;$AE$1:$AE$55,0)),"")</f>
        <v/>
      </c>
      <c r="KJ19" s="216" t="str" cm="1">
        <f t="array" ref="KJ19">IFERROR(INDEX($AG$1:$AG$55,MATCH(KJ$6&amp;$JZ19,$Z$1:$Z$55&amp;$AE$1:$AE$55,0)),"")</f>
        <v/>
      </c>
      <c r="KK19" s="216" t="str" cm="1">
        <f t="array" ref="KK19">IFERROR(INDEX($AG$1:$AG$55,MATCH(KK$6&amp;$JZ19,$Z$1:$Z$55&amp;$AE$1:$AE$55,0)),"")</f>
        <v/>
      </c>
      <c r="KL19" s="216" t="str" cm="1">
        <f t="array" ref="KL19">IFERROR(INDEX($AG$1:$AG$55,MATCH(KL$6&amp;$JZ19,$Z$1:$Z$55&amp;$AE$1:$AE$55,0)),"")</f>
        <v/>
      </c>
      <c r="KM19" s="224" t="str" cm="1">
        <f t="array" ref="KM19">IFERROR(INDEX($AG$1:$AG$55,MATCH(KM$6&amp;$JZ19,$Z$1:$Z$55&amp;$AE$1:$AE$55,0)),"")</f>
        <v/>
      </c>
    </row>
    <row r="20" spans="1:299" x14ac:dyDescent="0.3">
      <c r="A20" s="54">
        <v>1</v>
      </c>
      <c r="B20" s="190"/>
      <c r="C20" s="190"/>
      <c r="D20" s="67"/>
      <c r="E20" s="190"/>
      <c r="F20" s="67"/>
      <c r="G20" s="191"/>
      <c r="H20" s="33" t="str">
        <f t="shared" si="8"/>
        <v/>
      </c>
      <c r="I20" s="67"/>
      <c r="J20" s="67"/>
      <c r="L20" s="67"/>
      <c r="M20" s="67"/>
      <c r="Z20" t="e" cm="1">
        <f t="array" ref="Z20">CONCATENATE(INDEX($CF$3:$CF$23,MATCH(AE20&amp;AH20,$BT$3:$BT$23&amp;$CC$3:$CC$23,0)),"CUSTOM")</f>
        <v>#N/A</v>
      </c>
      <c r="AA20" t="e">
        <f>INDEX(prd!$BF$5:$BF$40,MATCH(Outfitter!Z20,prd!$BD$5:$BD$40,0))</f>
        <v>#N/A</v>
      </c>
      <c r="AB20" t="e">
        <f>INDEX(prd!$BD$5:$BQ$40,MATCH(Outfitter!$Z20,prd!$BD$5:$BD$40,0),MATCH(Outfitter!$L$1,prd!$BD$5:$BQ$5,0))</f>
        <v>#N/A</v>
      </c>
      <c r="AC20" t="e">
        <f>INDEX(prd!$BG$5:$BG$40,MATCH(Outfitter!Z20,prd!$BD$5:$BD$40,0))</f>
        <v>#N/A</v>
      </c>
      <c r="AD20">
        <v>13</v>
      </c>
      <c r="AE20" s="25" t="e">
        <f t="shared" si="9"/>
        <v>#N/A</v>
      </c>
      <c r="AF20" s="138" t="e">
        <f t="shared" si="10"/>
        <v>#N/A</v>
      </c>
      <c r="AG20" s="25" t="e">
        <f t="shared" si="11"/>
        <v>#N/A</v>
      </c>
      <c r="AH20" s="25" t="str">
        <f t="shared" si="12"/>
        <v/>
      </c>
      <c r="AI20" s="25" t="str">
        <f t="shared" si="13"/>
        <v/>
      </c>
      <c r="AJ20" s="25" t="str">
        <f t="shared" si="14"/>
        <v/>
      </c>
      <c r="AK20" s="25" t="str">
        <f t="shared" si="15"/>
        <v>Cosmic Calamity</v>
      </c>
      <c r="AL20" s="25">
        <f>IF(ISERROR(IF(C20="","",MATCH(C20,$EU$4:$EU$35,0)))=TRUE,1,0)</f>
        <v>0</v>
      </c>
      <c r="AM20" s="25">
        <f>IF(ISERROR(IF(E20="","", MATCH(E20,$FT$4:$FT$10,0)))=TRUE,1,0)</f>
        <v>0</v>
      </c>
      <c r="AN20" s="25">
        <f>IF(ISERROR(IF(G20="","", MATCH(G20,$IB$4:$IB$12,0)))=TRUE,1,0)</f>
        <v>0</v>
      </c>
      <c r="AO20" s="25" t="b">
        <f t="shared" si="16"/>
        <v>0</v>
      </c>
      <c r="AP20" s="138" t="str">
        <f t="shared" si="17"/>
        <v/>
      </c>
      <c r="AQ20" s="138" t="str" cm="1">
        <f t="array" ref="AQ20">IFERROR(IF(AH20&lt;&gt; "LS",INDEX($IQ$1:$IQ$32,MATCH(AH20&amp;AK20,$IN$1:$IN$32&amp;$IO$1:$IO$32,0)), IF(AH20="LS",INDEX($IR$34:$IR$72,MATCH(AH20&amp;AK20&amp;AJ20&amp;BA20,$IN$34:$IN$72&amp;$IO$34:$IO$72&amp;$IP$34:$IP$72&amp;$IQ$34:$IQ$72,0)),"el-CRASH-O")),"")</f>
        <v/>
      </c>
      <c r="AR20" s="138" t="str" cm="1">
        <f t="array" ref="AR20">IFERROR(IF(OR(AH20="LB",AH20="LF"),INDEX($IW$3:$IW$11,MATCH(AJ20,$IV$3:$IV$11,0)),IF(AH20="LT",INDEX($IX$15:$IX$42,MATCH(AH20&amp;AK20&amp;AJ20,$IU$15:$IU$42&amp;$IV$15:$IV$42&amp;$IW$15:$IW$42,0)),IF(AND(AH20="LS", AK20="P86C"),"WM",""))),"")</f>
        <v/>
      </c>
      <c r="AS20" s="25" cm="1">
        <f t="array" ref="AS20">IFERROR(IF(AH20 ="LB",ROUND(INDEX(prd!$CG$3:$CG$35,MATCH(Outfitter!$AJ20&amp;Outfitter!$AF$24,prd!$CD$3:$CD$35&amp;prd!$CE$3:$CE$35,0))*AB20/AA20,2),0),0)</f>
        <v>0</v>
      </c>
      <c r="AT20" s="25">
        <f>IFERROR(IF(AH20="LB",SUM(#REF!,#REF!,AS20),IF(AH20="LT",SUM(#REF!),IF(AH20="LF",SUM(#REF!),IF(AH20="LS",SUM(#REF!),0)))),0)</f>
        <v>0</v>
      </c>
      <c r="AU20" s="79" t="str">
        <f t="shared" si="18"/>
        <v/>
      </c>
      <c r="AV20" s="25" t="str">
        <f>IF(AH20="LB",INDEX(Outfitter!$FX$3:$FX$13,MATCH(Outfitter!AK20,Outfitter!$FY$3:$FY$13,0)),"")</f>
        <v/>
      </c>
      <c r="AW20" s="214" t="str">
        <f t="shared" si="19"/>
        <v/>
      </c>
      <c r="AX20" s="25">
        <f t="shared" si="32"/>
        <v>0</v>
      </c>
      <c r="AY20" s="25">
        <f t="shared" si="20"/>
        <v>0</v>
      </c>
      <c r="AZ20" s="25">
        <f t="shared" si="21"/>
        <v>0</v>
      </c>
      <c r="BA20" s="188" t="str">
        <f t="shared" si="22"/>
        <v>3F</v>
      </c>
      <c r="BB20" s="79" t="str">
        <f t="shared" si="23"/>
        <v xml:space="preserve"> Badge</v>
      </c>
      <c r="BC20" s="79"/>
      <c r="BD20" s="79"/>
      <c r="BE20" s="187" t="e">
        <f t="shared" si="24"/>
        <v>#N/A</v>
      </c>
      <c r="BF20" s="25">
        <f t="shared" si="25"/>
        <v>0</v>
      </c>
      <c r="BG20" s="25">
        <f t="shared" si="26"/>
        <v>0</v>
      </c>
      <c r="BH20" s="25">
        <f t="shared" si="27"/>
        <v>0</v>
      </c>
      <c r="BI20" s="25">
        <f t="shared" si="28"/>
        <v>0</v>
      </c>
      <c r="BJ20" s="9">
        <f t="shared" si="29"/>
        <v>0</v>
      </c>
      <c r="BK20" s="9">
        <f t="shared" si="30"/>
        <v>0</v>
      </c>
      <c r="BL20" t="str">
        <f t="shared" si="31"/>
        <v/>
      </c>
      <c r="BN20" s="242"/>
      <c r="BS20" s="16" t="s">
        <v>232</v>
      </c>
      <c r="BT20" s="12" t="s">
        <v>19</v>
      </c>
      <c r="CB20" s="16" t="s">
        <v>232</v>
      </c>
      <c r="CC20" s="16" t="s">
        <v>66</v>
      </c>
      <c r="CF20" s="36" t="s">
        <v>232</v>
      </c>
      <c r="CG20" t="s">
        <v>266</v>
      </c>
      <c r="CH20" t="s">
        <v>266</v>
      </c>
      <c r="CI20" t="s">
        <v>266</v>
      </c>
      <c r="CJ20" t="s">
        <v>250</v>
      </c>
      <c r="CK20" t="s">
        <v>156</v>
      </c>
      <c r="CN20" s="15" t="s">
        <v>305</v>
      </c>
      <c r="CO20" s="86" t="s">
        <v>306</v>
      </c>
      <c r="CP20" s="14" t="s">
        <v>286</v>
      </c>
      <c r="CQ20" s="14" t="s">
        <v>76</v>
      </c>
      <c r="CR20" s="6" t="str">
        <f t="shared" si="0"/>
        <v>HG: Heritage Green</v>
      </c>
      <c r="CT20" s="3" t="str">
        <f t="shared" si="1"/>
        <v>Wrap</v>
      </c>
      <c r="CU20" s="12" t="s">
        <v>15</v>
      </c>
      <c r="CV20" s="13" t="s">
        <v>931</v>
      </c>
      <c r="CW20" s="129" t="str">
        <f t="shared" si="2"/>
        <v>0Q: Black Oyster Pearl</v>
      </c>
      <c r="DA20" s="9" t="s">
        <v>15</v>
      </c>
      <c r="DB20" s="9" t="s">
        <v>188</v>
      </c>
      <c r="DC20" t="s">
        <v>1080</v>
      </c>
      <c r="DE20" s="7" t="s">
        <v>408</v>
      </c>
      <c r="DJ20" s="12" t="s">
        <v>15</v>
      </c>
      <c r="DK20" s="12" t="s">
        <v>24</v>
      </c>
      <c r="DL20" s="12" t="s">
        <v>413</v>
      </c>
      <c r="DM20" s="14" t="s">
        <v>394</v>
      </c>
      <c r="DN20" s="129" t="s">
        <v>199</v>
      </c>
      <c r="DR20" s="12" t="s">
        <v>16</v>
      </c>
      <c r="DS20" s="12" t="s">
        <v>24</v>
      </c>
      <c r="DT20" s="12" t="s">
        <v>415</v>
      </c>
      <c r="DU20" s="12" t="s">
        <v>397</v>
      </c>
      <c r="DV20" s="95"/>
      <c r="DX20" s="14" t="s">
        <v>70</v>
      </c>
      <c r="DY20" s="12" t="s">
        <v>149</v>
      </c>
      <c r="DZ20" s="12" t="s">
        <v>465</v>
      </c>
      <c r="EC20" s="14" t="s">
        <v>15</v>
      </c>
      <c r="ED20" s="12" t="s">
        <v>66</v>
      </c>
      <c r="EE20" s="12" t="s">
        <v>93</v>
      </c>
      <c r="EF20" s="129" t="s">
        <v>507</v>
      </c>
      <c r="FC20" s="14" t="s">
        <v>49</v>
      </c>
      <c r="FD20" s="14" t="s">
        <v>16</v>
      </c>
      <c r="FE20" s="129" t="s">
        <v>1338</v>
      </c>
      <c r="GD20" s="14" t="s">
        <v>16</v>
      </c>
      <c r="GE20" s="9" t="s">
        <v>539</v>
      </c>
      <c r="GF20" s="132" t="str">
        <f t="shared" si="36"/>
        <v>Rocker Single 9.5mm</v>
      </c>
      <c r="GG20" s="9"/>
      <c r="GN20" s="12" t="s">
        <v>561</v>
      </c>
      <c r="GO20" s="14" t="s">
        <v>23</v>
      </c>
      <c r="GP20" s="12" t="s">
        <v>558</v>
      </c>
      <c r="GQ20" s="133" t="str">
        <f t="shared" si="34"/>
        <v>Triad Brkts/Legs 12mm</v>
      </c>
      <c r="GR20" s="12"/>
      <c r="GY20" s="12" t="s">
        <v>144</v>
      </c>
      <c r="GZ20" s="14" t="s">
        <v>22</v>
      </c>
      <c r="HA20" s="12" t="s">
        <v>425</v>
      </c>
      <c r="HB20" s="131" t="str">
        <f t="shared" si="33"/>
        <v>Atlas Mount 12mm</v>
      </c>
      <c r="HC20" s="12"/>
      <c r="HD20" s="12"/>
      <c r="HK20" s="62" t="s">
        <v>194</v>
      </c>
      <c r="HL20" s="62" t="s">
        <v>576</v>
      </c>
      <c r="HM20" s="129" t="s">
        <v>577</v>
      </c>
      <c r="HP20" s="9"/>
      <c r="ID20" s="9" t="s">
        <v>1294</v>
      </c>
      <c r="IF20" s="9" t="s">
        <v>93</v>
      </c>
      <c r="IG20" s="110" t="str">
        <f t="shared" si="6"/>
        <v>LB804</v>
      </c>
      <c r="IH20" s="9" t="s">
        <v>661</v>
      </c>
      <c r="II20" s="9" t="s">
        <v>662</v>
      </c>
      <c r="IJ20" s="9" t="s">
        <v>663</v>
      </c>
      <c r="IK20" s="9" t="s">
        <v>664</v>
      </c>
      <c r="IN20" s="9" t="s">
        <v>24</v>
      </c>
      <c r="IO20" s="12" t="s">
        <v>417</v>
      </c>
      <c r="IP20" t="s">
        <v>861</v>
      </c>
      <c r="IQ20" s="108" t="s">
        <v>47</v>
      </c>
      <c r="IU20" t="s">
        <v>24</v>
      </c>
      <c r="IV20" t="s">
        <v>417</v>
      </c>
      <c r="IW20" t="s">
        <v>26</v>
      </c>
      <c r="IX20" t="s">
        <v>899</v>
      </c>
      <c r="JY20" s="11"/>
      <c r="JZ20" s="220" t="s">
        <v>1325</v>
      </c>
      <c r="KA20" s="216" t="str">
        <f>IF(KA8="Floor",$G$8,"")</f>
        <v/>
      </c>
      <c r="KB20" s="216" t="str">
        <f>IF(KB8="Floor",$G$9,"")</f>
        <v/>
      </c>
      <c r="KC20" s="216" t="str">
        <f>IF(KC8="Floor",$G$10,"")</f>
        <v/>
      </c>
      <c r="KD20" s="216" t="str">
        <f>IF(KD8="Floor",$G$11,"")</f>
        <v/>
      </c>
      <c r="KE20" s="216" t="str">
        <f>IF(KE8="Floor",$G$12,"")</f>
        <v/>
      </c>
      <c r="KF20" s="216" t="str">
        <f>IF(KF8="Floor",$G$13,"")</f>
        <v/>
      </c>
      <c r="KG20" s="216" t="str">
        <f>IF(KG8="Floor",$G$14,"")</f>
        <v/>
      </c>
      <c r="KH20" s="216" t="str">
        <f>IF(KH8="Floor",$G$15,"")</f>
        <v/>
      </c>
      <c r="KI20" s="216" t="str">
        <f>IF(KI8="Floor",$G$16,"")</f>
        <v/>
      </c>
      <c r="KJ20" s="216" t="str">
        <f>IF(KJ8="Floor",$G$17,"")</f>
        <v/>
      </c>
      <c r="KK20" s="216" t="str">
        <f>IF(KK8="Floor",$G$18,"")</f>
        <v/>
      </c>
      <c r="KL20" s="216" t="str">
        <f>IF(KL8="Floor",$G$19,"")</f>
        <v/>
      </c>
      <c r="KM20" s="240" t="str">
        <f>IF(KM8="Floor",$G$20,"")</f>
        <v/>
      </c>
    </row>
    <row r="21" spans="1:299" ht="24" customHeight="1" thickBot="1" x14ac:dyDescent="0.4">
      <c r="B21" s="53" t="s">
        <v>97</v>
      </c>
      <c r="D21" s="30"/>
      <c r="E21" s="228" t="s">
        <v>98</v>
      </c>
      <c r="G21" s="57" t="s">
        <v>99</v>
      </c>
      <c r="H21" s="6"/>
      <c r="I21" s="30"/>
      <c r="J21" s="30"/>
      <c r="N21" s="11"/>
      <c r="AR21" s="9"/>
      <c r="BS21" s="16" t="s">
        <v>233</v>
      </c>
      <c r="BT21" s="12" t="s">
        <v>19</v>
      </c>
      <c r="CB21" s="16" t="s">
        <v>233</v>
      </c>
      <c r="CC21" s="16" t="s">
        <v>73</v>
      </c>
      <c r="CF21" s="36" t="s">
        <v>233</v>
      </c>
      <c r="CG21" t="s">
        <v>267</v>
      </c>
      <c r="CH21" t="s">
        <v>267</v>
      </c>
      <c r="CI21" t="s">
        <v>267</v>
      </c>
      <c r="CJ21" t="s">
        <v>250</v>
      </c>
      <c r="CK21" t="s">
        <v>168</v>
      </c>
      <c r="CN21" s="15" t="s">
        <v>307</v>
      </c>
      <c r="CO21" s="92" t="s">
        <v>308</v>
      </c>
      <c r="CP21" s="14" t="s">
        <v>286</v>
      </c>
      <c r="CQ21" s="14" t="s">
        <v>76</v>
      </c>
      <c r="CR21" s="6" t="str">
        <f t="shared" si="0"/>
        <v>0M: Mahogany Stain</v>
      </c>
      <c r="CT21" s="3" t="str">
        <f t="shared" si="1"/>
        <v>Wrap</v>
      </c>
      <c r="CU21" s="12" t="s">
        <v>16</v>
      </c>
      <c r="CV21" s="13" t="s">
        <v>931</v>
      </c>
      <c r="CW21" s="129" t="str">
        <f t="shared" si="2"/>
        <v>0Q: Black Oyster Pearl</v>
      </c>
      <c r="DA21" s="9" t="s">
        <v>16</v>
      </c>
      <c r="DB21" s="9" t="s">
        <v>43</v>
      </c>
      <c r="DC21" t="s">
        <v>1080</v>
      </c>
      <c r="DE21" s="235" t="s">
        <v>409</v>
      </c>
      <c r="DJ21" s="12" t="s">
        <v>15</v>
      </c>
      <c r="DK21" s="12" t="s">
        <v>24</v>
      </c>
      <c r="DL21" s="12" t="s">
        <v>413</v>
      </c>
      <c r="DM21" s="14" t="s">
        <v>414</v>
      </c>
      <c r="DN21" s="129" t="s">
        <v>1272</v>
      </c>
      <c r="DR21" s="12" t="s">
        <v>18</v>
      </c>
      <c r="DS21" s="12" t="s">
        <v>24</v>
      </c>
      <c r="DT21" s="12" t="s">
        <v>415</v>
      </c>
      <c r="DU21" s="12" t="s">
        <v>397</v>
      </c>
      <c r="DV21" s="95"/>
      <c r="DX21" s="14" t="s">
        <v>70</v>
      </c>
      <c r="DY21" s="12" t="s">
        <v>150</v>
      </c>
      <c r="DZ21" s="12" t="s">
        <v>466</v>
      </c>
      <c r="EC21" s="14" t="s">
        <v>15</v>
      </c>
      <c r="ED21" s="12" t="s">
        <v>66</v>
      </c>
      <c r="EE21" s="12" t="s">
        <v>95</v>
      </c>
      <c r="EF21" s="129" t="s">
        <v>508</v>
      </c>
      <c r="FC21" s="14" t="s">
        <v>58</v>
      </c>
      <c r="FD21" s="14" t="s">
        <v>22</v>
      </c>
      <c r="FE21" s="129" t="s">
        <v>519</v>
      </c>
      <c r="GD21" s="14" t="s">
        <v>16</v>
      </c>
      <c r="GE21" s="9" t="s">
        <v>541</v>
      </c>
      <c r="GF21" s="132" t="str">
        <f t="shared" si="36"/>
        <v>Rocker Double 9.5mm</v>
      </c>
      <c r="GG21" s="9"/>
      <c r="GN21" s="12" t="s">
        <v>562</v>
      </c>
      <c r="GO21" s="14" t="s">
        <v>518</v>
      </c>
      <c r="GP21" s="12" t="s">
        <v>555</v>
      </c>
      <c r="GQ21" s="133" t="str">
        <f t="shared" si="34"/>
        <v>Clsc Ludwig Legs 9.5mm</v>
      </c>
      <c r="GR21" s="12"/>
      <c r="GY21" s="12" t="s">
        <v>148</v>
      </c>
      <c r="GZ21" s="14" t="s">
        <v>518</v>
      </c>
      <c r="HA21" s="12" t="s">
        <v>413</v>
      </c>
      <c r="HB21" s="131" t="str">
        <f t="shared" si="33"/>
        <v>No Mounting Bracket</v>
      </c>
      <c r="HC21" s="12"/>
      <c r="HD21" s="12"/>
      <c r="HK21" s="62" t="s">
        <v>203</v>
      </c>
      <c r="HL21" s="62" t="s">
        <v>576</v>
      </c>
      <c r="HM21" s="129" t="s">
        <v>577</v>
      </c>
      <c r="HP21" s="70"/>
      <c r="ID21" s="9" t="s">
        <v>921</v>
      </c>
      <c r="IF21" s="9" t="s">
        <v>95</v>
      </c>
      <c r="IG21" s="110" t="str">
        <f t="shared" si="6"/>
        <v>LB826</v>
      </c>
      <c r="IH21" s="9" t="s">
        <v>665</v>
      </c>
      <c r="II21" s="9" t="s">
        <v>666</v>
      </c>
      <c r="IJ21" s="9" t="s">
        <v>667</v>
      </c>
      <c r="IK21" s="9" t="s">
        <v>668</v>
      </c>
      <c r="IN21" s="9" t="s">
        <v>24</v>
      </c>
      <c r="IO21" s="12" t="s">
        <v>425</v>
      </c>
      <c r="IP21" t="s">
        <v>862</v>
      </c>
      <c r="IQ21" s="108" t="s">
        <v>94</v>
      </c>
      <c r="IU21" t="s">
        <v>24</v>
      </c>
      <c r="IV21" t="s">
        <v>418</v>
      </c>
      <c r="IW21" t="s">
        <v>518</v>
      </c>
      <c r="IX21" t="s">
        <v>895</v>
      </c>
      <c r="JY21" s="11"/>
      <c r="JZ21" s="220" t="s">
        <v>1312</v>
      </c>
      <c r="KA21" s="216" t="str">
        <f>IF(KA8="Tom",$G$8,"")</f>
        <v/>
      </c>
      <c r="KB21" s="216" t="str">
        <f>IF(KB8="Tom",$G$9,"")</f>
        <v/>
      </c>
      <c r="KC21" s="216" t="str">
        <f>IF(KC8="Tom",$G$10,"")</f>
        <v/>
      </c>
      <c r="KD21" s="216" t="str">
        <f>IF(KD8="Tom",$G$11,"")</f>
        <v/>
      </c>
      <c r="KE21" s="216" t="str">
        <f>IF(KE8="Tom",$G$12,"")</f>
        <v/>
      </c>
      <c r="KF21" s="216" t="str">
        <f>IF(KF8="Tom",$G$13,"")</f>
        <v/>
      </c>
      <c r="KG21" s="216" t="str">
        <f>IF(KG8="Tom",$G$14,"")</f>
        <v/>
      </c>
      <c r="KH21" s="216" t="str">
        <f>IF(KH8="Tom",$G$15,"")</f>
        <v/>
      </c>
      <c r="KI21" s="216" t="str">
        <f>IF(KI8="Tom",$G$16,"")</f>
        <v/>
      </c>
      <c r="KJ21" s="216" t="str">
        <f>IF(KJ8="Tom",$G$17,"")</f>
        <v/>
      </c>
      <c r="KK21" s="216" t="str">
        <f>IF(KK8="Tom",$G$18,"")</f>
        <v/>
      </c>
      <c r="KL21" s="216" t="str">
        <f>IF(KL8="Tom",$G$19,"")</f>
        <v/>
      </c>
      <c r="KM21" s="224" t="str">
        <f>IF(KM8="Tom",$G$20,"")</f>
        <v/>
      </c>
    </row>
    <row r="22" spans="1:299" ht="16.2" customHeight="1" x14ac:dyDescent="0.3">
      <c r="A22" s="210">
        <f>IF(H22="Invalid Selection",1,0)</f>
        <v>0</v>
      </c>
      <c r="B22" s="210">
        <f>COUNTIF($B$8:$B$20,"Bass")</f>
        <v>0</v>
      </c>
      <c r="C22" s="47" t="s">
        <v>101</v>
      </c>
      <c r="D22" s="27" t="s">
        <v>102</v>
      </c>
      <c r="E22" s="9" t="str">
        <f>IFERROR(INDEX(Dtls!Q3:Q197,MATCH(Outfitter!$AF$3,Dtls!O3:O197,0)),"Finish Dependent")</f>
        <v>Finish Dependent</v>
      </c>
      <c r="F22" s="169" t="str">
        <f>IFERROR(IF(Dtls!K1="Yes","Change to","No Option"),"No Finish")</f>
        <v>No Finish</v>
      </c>
      <c r="G22" s="46"/>
      <c r="H22" s="48" t="str">
        <f>IF(OR(G22="",G22=E22),"",IF(ISERROR(MATCH(G22,Dtls!K3:K20,0))=TRUE,"Invalid Selection",""))</f>
        <v/>
      </c>
      <c r="J22" s="30"/>
      <c r="K22" s="30"/>
      <c r="L22" s="30"/>
      <c r="M22" s="59"/>
      <c r="N22" s="69"/>
      <c r="Z22" t="e" cm="1">
        <f t="array" ref="Z22">CONCATENATE(INDEX($CF$3:$CF$23,MATCH($AF$2&amp;"LB",$BT$3:$BT$23&amp;$CC$3:$CC$23,0)),"CUSTOM")</f>
        <v>#N/A</v>
      </c>
      <c r="AA22" t="e">
        <f>INDEX(prd!$BF$5:$BF$40,MATCH(Outfitter!Z22,prd!$BD$5:$BD$40,0))</f>
        <v>#N/A</v>
      </c>
      <c r="AB22" t="e">
        <f>INDEX(prd!$BD$5:$BQ$40,MATCH(Outfitter!$Z22,prd!$BD$5:$BD$40,0),MATCH(Outfitter!$L$1,prd!$BD$5:$BQ$5,0))</f>
        <v>#N/A</v>
      </c>
      <c r="AE22" s="10" t="s">
        <v>1327</v>
      </c>
      <c r="AF22" s="179" t="e">
        <f>INDEX(Dtls!B3:B20,MATCH(Outfitter!AG22,Dtls!C3:C20,0))</f>
        <v>#N/A</v>
      </c>
      <c r="AG22" s="4" t="str">
        <f t="shared" ref="AG22:AG50" si="37">IF(G22="",E22,G22)</f>
        <v>Finish Dependent</v>
      </c>
      <c r="AI22" s="176" t="s">
        <v>7</v>
      </c>
      <c r="AJ22" s="158" t="s">
        <v>1088</v>
      </c>
      <c r="AK22" s="159" t="s">
        <v>964</v>
      </c>
      <c r="AL22" s="158" t="s">
        <v>965</v>
      </c>
      <c r="AM22" s="158" t="s">
        <v>1116</v>
      </c>
      <c r="AN22" s="160"/>
      <c r="AU22" s="199" t="s">
        <v>1316</v>
      </c>
      <c r="AV22" s="200" t="b">
        <f>NOT(ISERROR(MATCH("9.5mm",$AV$8:$AV$20,0)))</f>
        <v>0</v>
      </c>
      <c r="AW22" s="201" t="b">
        <f>NOT(ISERROR(MATCH("9.5mm",$AW$8:$AW$20,0)))</f>
        <v>0</v>
      </c>
      <c r="BI22" s="245"/>
      <c r="BJ22" s="246">
        <f>IF(SUM(BJ8:BJ21)&gt;0,1,0)</f>
        <v>0</v>
      </c>
      <c r="BK22" s="246">
        <f>IF(SUM(BK8:BK21)&gt;0,1,0)</f>
        <v>0</v>
      </c>
      <c r="BL22" s="247"/>
      <c r="BM22" s="245"/>
      <c r="BN22" s="245"/>
      <c r="BO22" s="245"/>
      <c r="BP22" s="245"/>
      <c r="BQ22" s="245"/>
      <c r="BS22" s="16" t="s">
        <v>234</v>
      </c>
      <c r="BT22" s="12" t="s">
        <v>19</v>
      </c>
      <c r="CB22" s="16" t="s">
        <v>234</v>
      </c>
      <c r="CC22" s="16" t="s">
        <v>24</v>
      </c>
      <c r="CF22" s="36" t="s">
        <v>234</v>
      </c>
      <c r="CG22" t="s">
        <v>268</v>
      </c>
      <c r="CH22" t="s">
        <v>268</v>
      </c>
      <c r="CI22" t="s">
        <v>268</v>
      </c>
      <c r="CJ22" t="s">
        <v>250</v>
      </c>
      <c r="CK22" t="s">
        <v>162</v>
      </c>
      <c r="CN22" s="15" t="s">
        <v>309</v>
      </c>
      <c r="CO22" s="92" t="s">
        <v>310</v>
      </c>
      <c r="CP22" s="14" t="s">
        <v>286</v>
      </c>
      <c r="CQ22" s="14" t="s">
        <v>76</v>
      </c>
      <c r="CR22" s="6" t="str">
        <f t="shared" si="0"/>
        <v>0N: Natural Maple</v>
      </c>
      <c r="CT22" s="3" t="str">
        <f t="shared" si="1"/>
        <v>Wrap</v>
      </c>
      <c r="CU22" s="12" t="s">
        <v>17</v>
      </c>
      <c r="CV22" s="13" t="s">
        <v>931</v>
      </c>
      <c r="CW22" s="129" t="str">
        <f t="shared" si="2"/>
        <v>0Q: Black Oyster Pearl</v>
      </c>
      <c r="DA22" s="9" t="s">
        <v>16</v>
      </c>
      <c r="DB22" s="9" t="s">
        <v>43</v>
      </c>
      <c r="DC22" t="s">
        <v>1344</v>
      </c>
      <c r="DE22" s="7" t="s">
        <v>410</v>
      </c>
      <c r="DJ22" s="12" t="s">
        <v>15</v>
      </c>
      <c r="DK22" s="12" t="s">
        <v>24</v>
      </c>
      <c r="DL22" s="12" t="s">
        <v>419</v>
      </c>
      <c r="DM22" s="14" t="s">
        <v>401</v>
      </c>
      <c r="DN22" s="129" t="s">
        <v>1330</v>
      </c>
      <c r="DR22" s="12" t="s">
        <v>15</v>
      </c>
      <c r="DS22" s="12" t="s">
        <v>24</v>
      </c>
      <c r="DT22" s="12" t="s">
        <v>417</v>
      </c>
      <c r="DU22" s="12" t="s">
        <v>399</v>
      </c>
      <c r="DV22" s="95"/>
      <c r="DX22" s="14" t="s">
        <v>70</v>
      </c>
      <c r="DY22" s="12" t="s">
        <v>151</v>
      </c>
      <c r="DZ22" s="12" t="s">
        <v>467</v>
      </c>
      <c r="EC22" s="14" t="s">
        <v>15</v>
      </c>
      <c r="ED22" s="12" t="s">
        <v>66</v>
      </c>
      <c r="EE22" s="12" t="s">
        <v>100</v>
      </c>
      <c r="EF22" s="129" t="s">
        <v>509</v>
      </c>
      <c r="FC22" s="14" t="s">
        <v>58</v>
      </c>
      <c r="FD22" s="14" t="s">
        <v>518</v>
      </c>
      <c r="FE22" s="129" t="s">
        <v>1337</v>
      </c>
      <c r="GD22" s="14" t="s">
        <v>16</v>
      </c>
      <c r="GE22" s="9" t="s">
        <v>547</v>
      </c>
      <c r="GF22" s="132" t="str">
        <f t="shared" si="36"/>
        <v>ATLAS Single 12mm</v>
      </c>
      <c r="GG22" s="9"/>
      <c r="GN22" s="12" t="s">
        <v>562</v>
      </c>
      <c r="GO22" s="14" t="s">
        <v>518</v>
      </c>
      <c r="GP22" s="12" t="s">
        <v>556</v>
      </c>
      <c r="GQ22" s="133" t="str">
        <f t="shared" si="34"/>
        <v>No Legs or Drilling</v>
      </c>
      <c r="GR22" s="12"/>
      <c r="GY22" s="12" t="s">
        <v>148</v>
      </c>
      <c r="GZ22" s="14" t="s">
        <v>518</v>
      </c>
      <c r="HA22" s="12" t="s">
        <v>419</v>
      </c>
      <c r="HB22" s="131" t="str">
        <f t="shared" si="33"/>
        <v>Ludwig Classic 9.5mm</v>
      </c>
      <c r="HC22" s="12"/>
      <c r="HD22" s="12"/>
      <c r="HK22" s="62" t="s">
        <v>190</v>
      </c>
      <c r="HL22" s="62" t="s">
        <v>574</v>
      </c>
      <c r="HM22" s="129" t="s">
        <v>575</v>
      </c>
      <c r="HP22" s="9"/>
      <c r="ID22" s="9" t="s">
        <v>924</v>
      </c>
      <c r="IF22" s="9" t="s">
        <v>100</v>
      </c>
      <c r="IG22" s="110" t="str">
        <f t="shared" si="6"/>
        <v>LB846</v>
      </c>
      <c r="IH22" s="9" t="s">
        <v>669</v>
      </c>
      <c r="II22" s="9" t="s">
        <v>670</v>
      </c>
      <c r="IJ22" s="9" t="s">
        <v>671</v>
      </c>
      <c r="IK22" s="9" t="s">
        <v>672</v>
      </c>
      <c r="IN22" s="9" t="s">
        <v>24</v>
      </c>
      <c r="IO22" s="12" t="s">
        <v>424</v>
      </c>
      <c r="IP22" t="s">
        <v>863</v>
      </c>
      <c r="IQ22" s="108" t="s">
        <v>96</v>
      </c>
      <c r="IU22" t="s">
        <v>24</v>
      </c>
      <c r="IV22" t="s">
        <v>418</v>
      </c>
      <c r="IW22" t="s">
        <v>16</v>
      </c>
      <c r="IX22" t="s">
        <v>896</v>
      </c>
      <c r="JY22" s="11"/>
      <c r="JZ22" s="220" t="s">
        <v>107</v>
      </c>
      <c r="KA22" s="216" t="str" cm="1">
        <f t="array" ref="KA22">IFERROR(INDEX($AG$1:$AG$55,MATCH(KA$6&amp;$JZ22,$Z$1:$Z$55&amp;$AE$1:$AE$55,0)),"")</f>
        <v/>
      </c>
      <c r="KB22" s="216" t="str" cm="1">
        <f t="array" ref="KB22">IFERROR(INDEX($AG$1:$AG$55,MATCH(KB$6&amp;$JZ22,$Z$1:$Z$55&amp;$AE$1:$AE$55,0)),"")</f>
        <v/>
      </c>
      <c r="KC22" s="216" t="str" cm="1">
        <f t="array" ref="KC22">IFERROR(INDEX($AG$1:$AG$55,MATCH(KC$6&amp;$JZ22,$Z$1:$Z$55&amp;$AE$1:$AE$55,0)),"")</f>
        <v/>
      </c>
      <c r="KD22" s="216" t="str" cm="1">
        <f t="array" ref="KD22">IFERROR(INDEX($AG$1:$AG$55,MATCH(KD$6&amp;$JZ22,$Z$1:$Z$55&amp;$AE$1:$AE$55,0)),"")</f>
        <v/>
      </c>
      <c r="KE22" s="216" t="str" cm="1">
        <f t="array" ref="KE22">IFERROR(INDEX($AG$1:$AG$55,MATCH(KE$6&amp;$JZ22,$Z$1:$Z$55&amp;$AE$1:$AE$55,0)),"")</f>
        <v/>
      </c>
      <c r="KF22" s="216" t="str" cm="1">
        <f t="array" ref="KF22">IFERROR(INDEX($AG$1:$AG$55,MATCH(KF$6&amp;$JZ22,$Z$1:$Z$55&amp;$AE$1:$AE$55,0)),"")</f>
        <v/>
      </c>
      <c r="KG22" s="216" t="str" cm="1">
        <f t="array" ref="KG22">IFERROR(INDEX($AG$1:$AG$55,MATCH(KG$6&amp;$JZ22,$Z$1:$Z$55&amp;$AE$1:$AE$55,0)),"")</f>
        <v/>
      </c>
      <c r="KH22" s="216" t="str" cm="1">
        <f t="array" ref="KH22">IFERROR(INDEX($AG$1:$AG$55,MATCH(KH$6&amp;$JZ22,$Z$1:$Z$55&amp;$AE$1:$AE$55,0)),"")</f>
        <v/>
      </c>
      <c r="KI22" s="216" t="str" cm="1">
        <f t="array" ref="KI22">IFERROR(INDEX($AG$1:$AG$55,MATCH(KI$6&amp;$JZ22,$Z$1:$Z$55&amp;$AE$1:$AE$55,0)),"")</f>
        <v/>
      </c>
      <c r="KJ22" s="216" t="str" cm="1">
        <f t="array" ref="KJ22">IFERROR(INDEX($AG$1:$AG$55,MATCH(KJ$6&amp;$JZ22,$Z$1:$Z$55&amp;$AE$1:$AE$55,0)),"")</f>
        <v/>
      </c>
      <c r="KK22" s="216" t="str" cm="1">
        <f t="array" ref="KK22">IFERROR(INDEX($AG$1:$AG$55,MATCH(KK$6&amp;$JZ22,$Z$1:$Z$55&amp;$AE$1:$AE$55,0)),"")</f>
        <v/>
      </c>
      <c r="KL22" s="216" t="str" cm="1">
        <f t="array" ref="KL22">IFERROR(INDEX($AG$1:$AG$55,MATCH(KL$6&amp;$JZ22,$Z$1:$Z$55&amp;$AE$1:$AE$55,0)),"")</f>
        <v/>
      </c>
      <c r="KM22" s="240" t="str" cm="1">
        <f t="array" ref="KM22">IFERROR(INDEX($AG$1:$AG$55,MATCH(KM$6&amp;$JZ22,$Z$1:$Z$55&amp;$AE$1:$AE$55,0)),"")</f>
        <v/>
      </c>
    </row>
    <row r="23" spans="1:299" x14ac:dyDescent="0.3">
      <c r="A23" s="210">
        <f>IF(H23="Invalid Selection",1,0)</f>
        <v>0</v>
      </c>
      <c r="B23" s="19"/>
      <c r="C23" s="28"/>
      <c r="D23" s="21" t="s">
        <v>106</v>
      </c>
      <c r="E23" s="9" t="str">
        <f>IFERROR(IF(OR(AF22="STi",AF22="SNi",AF22="ONi",AF22="ONa",AF22="SNa",AF22="STa",AF22="MHa"),INDEX(Dtls!AG3:AG163,MATCH(AF8,Dtls!AE3:AE163,0)),"None"),"Finish Dependent")</f>
        <v>Finish Dependent</v>
      </c>
      <c r="F23" s="169" t="e">
        <f>IF(Dtls!AA1="No","No Option","Change to")</f>
        <v>#N/A</v>
      </c>
      <c r="G23" s="46"/>
      <c r="H23" s="48" t="str">
        <f>IF(OR($G$23="",G23=E23),"",IF(ISERROR(MATCH($G$23,Dtls!AA4:AA100,0))=FALSE,"","Invalid Selection"))</f>
        <v/>
      </c>
      <c r="J23" s="30"/>
      <c r="K23" s="30"/>
      <c r="L23" s="30"/>
      <c r="M23" s="1"/>
      <c r="N23" s="69"/>
      <c r="Z23" t="e" cm="1">
        <f t="array" ref="Z23">CONCATENATE(INDEX($CF$3:$CF$23,MATCH($AF$2&amp;"LB",$BT$3:$BT$23&amp;$CC$3:$CC$23,0)),"CUSTOM")</f>
        <v>#N/A</v>
      </c>
      <c r="AA23" t="e">
        <f>INDEX(prd!$BF$5:$BF$40,MATCH(Outfitter!Z23,prd!$BD$5:$BD$40,0))</f>
        <v>#N/A</v>
      </c>
      <c r="AB23" t="e">
        <f>INDEX(prd!$BD$5:$BQ$40,MATCH(Outfitter!$Z23,prd!$BD$5:$BD$40,0),MATCH(Outfitter!$L$1,prd!$BD$5:$BQ$5,0))</f>
        <v>#N/A</v>
      </c>
      <c r="AE23" s="10" t="s">
        <v>1324</v>
      </c>
      <c r="AF23" s="179" t="e">
        <f>INDEX(Dtls!T3:T86,MATCH(Outfitter!AG23,Dtls!U3:U86,0))</f>
        <v>#N/A</v>
      </c>
      <c r="AG23" s="4" t="str">
        <f>IF(G23="",E23,G23)</f>
        <v>Finish Dependent</v>
      </c>
      <c r="AI23" s="28" t="s">
        <v>967</v>
      </c>
      <c r="AJ23" t="s">
        <v>1089</v>
      </c>
      <c r="AK23" s="9" t="b" cm="1">
        <f t="array" ref="AK23">AND(ISERROR(MATCH("LB"&amp;"LI",AH8:AH20&amp;AJ8:AJ20,0)), ISERROR(MATCH("LB"&amp;"LT",AH8:AH20&amp;AJ8:AJ20,0)))</f>
        <v>1</v>
      </c>
      <c r="AL23" t="str">
        <f>IF(AK23=FALSE,"LAC2973SP","OK")</f>
        <v>OK</v>
      </c>
      <c r="AM23" t="s">
        <v>973</v>
      </c>
      <c r="AN23" s="161"/>
      <c r="AP23" s="12"/>
      <c r="AU23" s="194" t="s">
        <v>1317</v>
      </c>
      <c r="AV23" s="9" t="b">
        <f>NOT(ISERROR(MATCH("12mm",$AV$8:$AV$20,0)))</f>
        <v>0</v>
      </c>
      <c r="AW23" s="202" t="b">
        <f>NOT(ISERROR(MATCH("12mm",$AW$8:$AW$20,0)))</f>
        <v>0</v>
      </c>
      <c r="BI23" s="245"/>
      <c r="BJ23" s="245"/>
      <c r="BK23" s="245"/>
      <c r="BL23" s="247" t="s">
        <v>1395</v>
      </c>
      <c r="BM23" s="245"/>
      <c r="BN23" s="245" t="s">
        <v>1880</v>
      </c>
      <c r="BO23" s="245"/>
      <c r="BP23" s="245"/>
      <c r="BQ23" s="245"/>
      <c r="BS23" s="16" t="s">
        <v>235</v>
      </c>
      <c r="BT23" s="12" t="s">
        <v>19</v>
      </c>
      <c r="CB23" s="16" t="s">
        <v>235</v>
      </c>
      <c r="CC23" s="16" t="s">
        <v>52</v>
      </c>
      <c r="CF23" s="36" t="s">
        <v>235</v>
      </c>
      <c r="CG23" t="s">
        <v>269</v>
      </c>
      <c r="CH23" t="s">
        <v>269</v>
      </c>
      <c r="CI23" t="s">
        <v>269</v>
      </c>
      <c r="CJ23" t="s">
        <v>250</v>
      </c>
      <c r="CK23" t="s">
        <v>174</v>
      </c>
      <c r="CN23" s="15" t="s">
        <v>311</v>
      </c>
      <c r="CO23" s="92" t="s">
        <v>312</v>
      </c>
      <c r="CP23" s="14" t="s">
        <v>286</v>
      </c>
      <c r="CQ23" s="14" t="s">
        <v>76</v>
      </c>
      <c r="CR23" s="6" t="str">
        <f t="shared" si="0"/>
        <v>BH: Night Oak</v>
      </c>
      <c r="CT23" s="3" t="str">
        <f t="shared" si="1"/>
        <v>Wrap</v>
      </c>
      <c r="CU23" s="12" t="s">
        <v>19</v>
      </c>
      <c r="CV23" s="13" t="s">
        <v>931</v>
      </c>
      <c r="CW23" s="129" t="str">
        <f t="shared" si="2"/>
        <v>0Q: Black Oyster Pearl</v>
      </c>
      <c r="DA23" s="9" t="s">
        <v>16</v>
      </c>
      <c r="DB23" s="9" t="s">
        <v>76</v>
      </c>
      <c r="DC23" t="s">
        <v>1080</v>
      </c>
      <c r="DE23" s="7" t="s">
        <v>426</v>
      </c>
      <c r="DJ23" s="12" t="s">
        <v>15</v>
      </c>
      <c r="DK23" s="12" t="s">
        <v>24</v>
      </c>
      <c r="DL23" s="12" t="s">
        <v>419</v>
      </c>
      <c r="DM23" s="14" t="s">
        <v>395</v>
      </c>
      <c r="DN23" s="129" t="s">
        <v>199</v>
      </c>
      <c r="DR23" s="12" t="s">
        <v>16</v>
      </c>
      <c r="DS23" s="12" t="s">
        <v>24</v>
      </c>
      <c r="DT23" s="12" t="s">
        <v>417</v>
      </c>
      <c r="DU23" s="12" t="s">
        <v>397</v>
      </c>
      <c r="DV23" s="95"/>
      <c r="DX23" s="14" t="s">
        <v>70</v>
      </c>
      <c r="DY23" s="12" t="s">
        <v>157</v>
      </c>
      <c r="DZ23" s="12" t="s">
        <v>468</v>
      </c>
      <c r="EC23" s="14" t="s">
        <v>15</v>
      </c>
      <c r="ED23" s="12" t="s">
        <v>66</v>
      </c>
      <c r="EE23" s="12" t="s">
        <v>104</v>
      </c>
      <c r="EF23" s="129" t="s">
        <v>510</v>
      </c>
      <c r="FC23" s="14" t="s">
        <v>58</v>
      </c>
      <c r="FD23" s="14" t="s">
        <v>16</v>
      </c>
      <c r="FE23" s="129" t="s">
        <v>1338</v>
      </c>
      <c r="GD23" s="14" t="s">
        <v>16</v>
      </c>
      <c r="GE23" s="9" t="s">
        <v>545</v>
      </c>
      <c r="GF23" s="132" t="str">
        <f t="shared" si="36"/>
        <v>ATLAS Double 12mm</v>
      </c>
      <c r="GG23" s="9"/>
      <c r="GN23" s="12" t="s">
        <v>562</v>
      </c>
      <c r="GO23" s="14" t="s">
        <v>518</v>
      </c>
      <c r="GP23" s="12" t="s">
        <v>558</v>
      </c>
      <c r="GQ23" s="133" t="str">
        <f t="shared" si="34"/>
        <v>Triad Brkts/Legs 12mm</v>
      </c>
      <c r="GR23" s="12"/>
      <c r="GY23" s="12" t="s">
        <v>148</v>
      </c>
      <c r="GZ23" s="14" t="s">
        <v>518</v>
      </c>
      <c r="HA23" s="12" t="s">
        <v>417</v>
      </c>
      <c r="HB23" s="131" t="str">
        <f t="shared" si="33"/>
        <v>Vibraband w/Ludwig 9.5mm</v>
      </c>
      <c r="HC23" s="12"/>
      <c r="HD23" s="12"/>
      <c r="HK23" s="62" t="s">
        <v>195</v>
      </c>
      <c r="HL23" s="62" t="s">
        <v>574</v>
      </c>
      <c r="HM23" s="129" t="s">
        <v>575</v>
      </c>
      <c r="HP23" s="9"/>
      <c r="ID23" s="9" t="s">
        <v>926</v>
      </c>
      <c r="IF23" s="9" t="s">
        <v>104</v>
      </c>
      <c r="IG23" s="110" t="str">
        <f t="shared" si="6"/>
        <v>LB866</v>
      </c>
      <c r="IH23" s="9" t="s">
        <v>673</v>
      </c>
      <c r="II23" s="9" t="s">
        <v>674</v>
      </c>
      <c r="IJ23" s="9" t="s">
        <v>675</v>
      </c>
      <c r="IK23" s="9" t="s">
        <v>676</v>
      </c>
      <c r="IN23" s="9" t="s">
        <v>24</v>
      </c>
      <c r="IO23" s="12" t="s">
        <v>418</v>
      </c>
      <c r="IP23" s="136" t="s">
        <v>864</v>
      </c>
      <c r="IQ23" s="108" t="s">
        <v>47</v>
      </c>
      <c r="IU23" t="s">
        <v>24</v>
      </c>
      <c r="IV23" t="s">
        <v>418</v>
      </c>
      <c r="IW23" t="s">
        <v>22</v>
      </c>
      <c r="IX23" t="s">
        <v>897</v>
      </c>
      <c r="JY23" s="11"/>
      <c r="JZ23" s="220" t="s">
        <v>900</v>
      </c>
      <c r="KA23" s="216" t="str">
        <f>IF(KA8="Snare",$G$8,"")</f>
        <v/>
      </c>
      <c r="KB23" s="216" t="str">
        <f>IF(KB8="Snare",$G$9,"")</f>
        <v/>
      </c>
      <c r="KC23" s="216" t="str">
        <f>IF(KC8="Snare",$G$10,"")</f>
        <v/>
      </c>
      <c r="KD23" s="216" t="str">
        <f>IF(KD8="Snare",$G$11,"")</f>
        <v/>
      </c>
      <c r="KE23" s="216" t="str">
        <f>IF(KE8="Snare",$G$12,"")</f>
        <v/>
      </c>
      <c r="KF23" s="216" t="str">
        <f>IF(KF8="Snare",$G$13,"")</f>
        <v/>
      </c>
      <c r="KG23" s="216" t="str">
        <f>IF(KG8="Snare",$G$14,"")</f>
        <v/>
      </c>
      <c r="KH23" s="216" t="str">
        <f>IF(KH8="Snare",$G$15,"")</f>
        <v/>
      </c>
      <c r="KI23" s="216" t="str">
        <f>IF(KI8="Snare",$G$16,"")</f>
        <v/>
      </c>
      <c r="KJ23" s="216" t="str">
        <f>IF(KJ8="Snare",$G$17,"")</f>
        <v/>
      </c>
      <c r="KK23" s="216" t="str">
        <f>IF(KK8="Snare",$G$18,"")</f>
        <v/>
      </c>
      <c r="KL23" s="216" t="str">
        <f>IF(KL8="Snare",$G$19,"")</f>
        <v/>
      </c>
      <c r="KM23" s="240" t="str">
        <f>IF(KM8="Snare",$G$20,"")</f>
        <v/>
      </c>
    </row>
    <row r="24" spans="1:299" x14ac:dyDescent="0.3">
      <c r="A24" s="210">
        <f>IF(H24="Invalid Selection",1,0)</f>
        <v>0</v>
      </c>
      <c r="B24" s="20"/>
      <c r="C24" s="28"/>
      <c r="D24" s="21" t="s">
        <v>108</v>
      </c>
      <c r="E24" s="9" t="str">
        <f>AL27</f>
        <v>LR2974 Elite Spurs</v>
      </c>
      <c r="F24" s="169" t="s">
        <v>103</v>
      </c>
      <c r="G24" s="46"/>
      <c r="H24" s="48" t="str">
        <f>IF(OR(G24="",G24=E24),"",IF(ISERROR(MATCH(G24,Dtls!AT4:AT12,0))=FALSE,"","Invalid Selection"))</f>
        <v/>
      </c>
      <c r="K24" s="66" t="str">
        <f>IF(AND(AQ24="Yes",AS24="Yes",AF24="PC4006"),AP25,"")</f>
        <v/>
      </c>
      <c r="N24" s="69"/>
      <c r="Z24" t="e" cm="1">
        <f t="array" ref="Z24">CONCATENATE(INDEX($CF$3:$CF$23,MATCH($AF$2&amp;"LB",$BT$3:$BT$23&amp;$CC$3:$CC$23,0)),"CUSTOM")</f>
        <v>#N/A</v>
      </c>
      <c r="AA24" t="e">
        <f>INDEX(prd!$BF$5:$BF$40,MATCH(Outfitter!Z24,prd!$BD$5:$BD$40,0))</f>
        <v>#N/A</v>
      </c>
      <c r="AB24" t="e">
        <f>INDEX(prd!$BD$5:$BQ$40,MATCH(Outfitter!$Z24,prd!$BD$5:$BD$40,0),MATCH(Outfitter!$L$1,prd!$BD$5:$BQ$5,0))</f>
        <v>#N/A</v>
      </c>
      <c r="AE24" s="10" t="s">
        <v>7</v>
      </c>
      <c r="AF24" s="179" t="str">
        <f>INDEX(Dtls!AK3:AK9,MATCH(Outfitter!AG24,Dtls!AL3:AL9,0))</f>
        <v>LR2974SP</v>
      </c>
      <c r="AG24" s="4" t="str">
        <f>IF(G24="",E24,G24)</f>
        <v>LR2974 Elite Spurs</v>
      </c>
      <c r="AI24" s="28" t="s">
        <v>966</v>
      </c>
      <c r="AJ24" t="s">
        <v>960</v>
      </c>
      <c r="AK24" t="b">
        <f>OR(ISERROR(MATCH("12_18B",AI8:AI20,0))=FALSE, ISERROR(MATCH("14_18B",AI8:AI20,0))=FALSE, ISERROR(MATCH("16_18B",AI8:AI20,0))=FALSE, ISERROR(MATCH("12_20B",AI8:AI20,0))=FALSE,ISERROR(MATCH("14_20B",AI8:AI20,0))=FALSE,ISERROR(MATCH("16_20B",AI8:AI20,0))=FALSE,ISERROR(MATCH("18_20B",AI8:AI20,0))=FALSE,ISERROR(MATCH("20_20B",AI8:AI20,0))=FALSE)</f>
        <v>0</v>
      </c>
      <c r="AL24" t="str">
        <f>IF(AK24=TRUE, "LC1308SP","OK")</f>
        <v>OK</v>
      </c>
      <c r="AM24" t="s">
        <v>962</v>
      </c>
      <c r="AN24" s="161"/>
      <c r="AP24" s="174" t="s">
        <v>1277</v>
      </c>
      <c r="AQ24" s="195" t="str" cm="1">
        <f t="array" ref="AQ24">IF(OR(ISERROR(MATCH("LB"&amp;"LI",AH8:AH20&amp;AJ8:AJ20,0))=FALSE,ISERROR(MATCH("LB"&amp;"LT",AH8:AH20&amp;AJ8:AJ20,0))=FALSE),"Yes","No")</f>
        <v>No</v>
      </c>
      <c r="AR24" s="196" t="s">
        <v>1278</v>
      </c>
      <c r="AS24" s="197" t="str" cm="1">
        <f t="array" ref="AS24">IF(OR(ISERROR(MATCH("LB"&amp;"ML",AH8:AH20&amp;AJ8:AJ20,0))=FALSE,ISERROR(MATCH("LB"&amp;"CL",AH8:AH20&amp;AJ8:AJ20,0))=FALSE,ISERROR(MATCH("LB"&amp;"LL",AH8:AH20&amp;AJ8:AJ20,0))=FALSE ),"Yes","No")</f>
        <v>No</v>
      </c>
      <c r="AU24" s="203"/>
      <c r="AV24" s="9"/>
      <c r="AW24" s="202"/>
      <c r="BI24" s="248" t="s">
        <v>1391</v>
      </c>
      <c r="BJ24" s="246">
        <v>0</v>
      </c>
      <c r="BK24" s="246">
        <v>0</v>
      </c>
      <c r="BL24" s="251" t="s">
        <v>1417</v>
      </c>
      <c r="BM24" s="245"/>
      <c r="BN24" s="250" t="str">
        <f>IF(BJ22&gt;0,BN17,"")</f>
        <v/>
      </c>
      <c r="BO24" s="245" t="s">
        <v>1879</v>
      </c>
      <c r="BP24" s="245"/>
      <c r="BQ24" s="245"/>
      <c r="CN24" s="15" t="s">
        <v>313</v>
      </c>
      <c r="CO24" s="92" t="s">
        <v>314</v>
      </c>
      <c r="CP24" s="14" t="s">
        <v>286</v>
      </c>
      <c r="CQ24" s="14" t="s">
        <v>76</v>
      </c>
      <c r="CR24" s="6" t="str">
        <f t="shared" si="0"/>
        <v>0T: Sable Classic Coat</v>
      </c>
      <c r="CT24" s="3" t="str">
        <f t="shared" si="1"/>
        <v>Sprayed</v>
      </c>
      <c r="CU24" s="12" t="s">
        <v>19</v>
      </c>
      <c r="CV24" s="14" t="s">
        <v>288</v>
      </c>
      <c r="CW24" s="129" t="str">
        <f t="shared" si="2"/>
        <v>K3: Blue Burst</v>
      </c>
      <c r="DA24" s="9" t="s">
        <v>16</v>
      </c>
      <c r="DB24" s="9" t="s">
        <v>76</v>
      </c>
      <c r="DC24" t="s">
        <v>1344</v>
      </c>
      <c r="DJ24" s="12" t="s">
        <v>15</v>
      </c>
      <c r="DK24" s="12" t="s">
        <v>24</v>
      </c>
      <c r="DL24" s="12" t="s">
        <v>419</v>
      </c>
      <c r="DM24" s="14" t="s">
        <v>420</v>
      </c>
      <c r="DN24" s="129" t="s">
        <v>1272</v>
      </c>
      <c r="DR24" s="12" t="s">
        <v>18</v>
      </c>
      <c r="DS24" s="12" t="s">
        <v>24</v>
      </c>
      <c r="DT24" s="12" t="s">
        <v>417</v>
      </c>
      <c r="DU24" s="12" t="s">
        <v>397</v>
      </c>
      <c r="DV24" s="95"/>
      <c r="DX24" s="14" t="s">
        <v>70</v>
      </c>
      <c r="DY24" s="12" t="s">
        <v>163</v>
      </c>
      <c r="DZ24" s="12" t="s">
        <v>469</v>
      </c>
      <c r="EC24" s="14" t="s">
        <v>15</v>
      </c>
      <c r="ED24" s="12" t="s">
        <v>73</v>
      </c>
      <c r="EE24" s="12" t="s">
        <v>110</v>
      </c>
      <c r="EF24" s="129" t="s">
        <v>480</v>
      </c>
      <c r="FC24" s="12" t="s">
        <v>58</v>
      </c>
      <c r="FD24" s="12" t="s">
        <v>24</v>
      </c>
      <c r="FE24" s="129" t="s">
        <v>516</v>
      </c>
      <c r="GD24" s="16" t="s">
        <v>24</v>
      </c>
      <c r="GE24" s="9" t="s">
        <v>536</v>
      </c>
      <c r="GF24" s="132" t="str">
        <f t="shared" si="36"/>
        <v>Less Mount / Holder</v>
      </c>
      <c r="GG24" s="9"/>
      <c r="GN24" s="12" t="s">
        <v>562</v>
      </c>
      <c r="GO24" s="14" t="s">
        <v>22</v>
      </c>
      <c r="GP24" s="12" t="s">
        <v>555</v>
      </c>
      <c r="GQ24" s="133" t="str">
        <f t="shared" si="34"/>
        <v>Clsc Ludwig Legs 9.5mm</v>
      </c>
      <c r="GR24" s="12"/>
      <c r="GY24" s="12" t="s">
        <v>148</v>
      </c>
      <c r="GZ24" s="14" t="s">
        <v>518</v>
      </c>
      <c r="HA24" s="12" t="s">
        <v>424</v>
      </c>
      <c r="HB24" s="131" t="str">
        <f t="shared" si="33"/>
        <v>Triad Bracket 12mm</v>
      </c>
      <c r="HC24" s="12"/>
      <c r="HD24" s="12"/>
      <c r="HK24" s="62" t="s">
        <v>192</v>
      </c>
      <c r="HL24" s="62" t="s">
        <v>570</v>
      </c>
      <c r="HM24" s="129" t="s">
        <v>571</v>
      </c>
      <c r="HP24" s="9"/>
      <c r="ID24" s="9"/>
      <c r="IF24" s="9"/>
      <c r="IG24" s="9"/>
      <c r="IH24" s="9"/>
      <c r="II24" s="9"/>
      <c r="IJ24" s="9"/>
      <c r="IK24" s="9"/>
      <c r="IN24" s="9"/>
      <c r="IU24" t="s">
        <v>24</v>
      </c>
      <c r="IV24" t="s">
        <v>418</v>
      </c>
      <c r="IW24" t="s">
        <v>25</v>
      </c>
      <c r="IX24" t="s">
        <v>898</v>
      </c>
      <c r="JY24" s="11"/>
      <c r="JZ24" s="220" t="s">
        <v>111</v>
      </c>
      <c r="KA24" s="216" t="str" cm="1">
        <f t="array" ref="KA24">IFERROR(INDEX($AG$1:$AG$55,MATCH(KA$6&amp;$JZ24,$Z$1:$Z$55&amp;$AE$1:$AE$55,0)),"")</f>
        <v/>
      </c>
      <c r="KB24" s="216" t="str" cm="1">
        <f t="array" ref="KB24">IFERROR(INDEX($AG$1:$AG$55,MATCH(KB$6&amp;$JZ24,$Z$1:$Z$55&amp;$AE$1:$AE$55,0)),"")</f>
        <v/>
      </c>
      <c r="KC24" s="216" t="str" cm="1">
        <f t="array" ref="KC24">IFERROR(INDEX($AG$1:$AG$55,MATCH(KC$6&amp;$JZ24,$Z$1:$Z$55&amp;$AE$1:$AE$55,0)),"")</f>
        <v/>
      </c>
      <c r="KD24" s="216" t="str" cm="1">
        <f t="array" ref="KD24">IFERROR(INDEX($AG$1:$AG$55,MATCH(KD$6&amp;$JZ24,$Z$1:$Z$55&amp;$AE$1:$AE$55,0)),"")</f>
        <v/>
      </c>
      <c r="KE24" s="216" t="str" cm="1">
        <f t="array" ref="KE24">IFERROR(INDEX($AG$1:$AG$55,MATCH(KE$6&amp;$JZ24,$Z$1:$Z$55&amp;$AE$1:$AE$55,0)),"")</f>
        <v/>
      </c>
      <c r="KF24" s="216" t="str" cm="1">
        <f t="array" ref="KF24">IFERROR(INDEX($AG$1:$AG$55,MATCH(KF$6&amp;$JZ24,$Z$1:$Z$55&amp;$AE$1:$AE$55,0)),"")</f>
        <v/>
      </c>
      <c r="KG24" s="216" t="str" cm="1">
        <f t="array" ref="KG24">IFERROR(INDEX($AG$1:$AG$55,MATCH(KG$6&amp;$JZ24,$Z$1:$Z$55&amp;$AE$1:$AE$55,0)),"")</f>
        <v/>
      </c>
      <c r="KH24" s="216" t="str" cm="1">
        <f t="array" ref="KH24">IFERROR(INDEX($AG$1:$AG$55,MATCH(KH$6&amp;$JZ24,$Z$1:$Z$55&amp;$AE$1:$AE$55,0)),"")</f>
        <v/>
      </c>
      <c r="KI24" s="216" t="str" cm="1">
        <f t="array" ref="KI24">IFERROR(INDEX($AG$1:$AG$55,MATCH(KI$6&amp;$JZ24,$Z$1:$Z$55&amp;$AE$1:$AE$55,0)),"")</f>
        <v/>
      </c>
      <c r="KJ24" s="216" t="str" cm="1">
        <f t="array" ref="KJ24">IFERROR(INDEX($AG$1:$AG$55,MATCH(KJ$6&amp;$JZ24,$Z$1:$Z$55&amp;$AE$1:$AE$55,0)),"")</f>
        <v/>
      </c>
      <c r="KK24" s="216" t="str" cm="1">
        <f t="array" ref="KK24">IFERROR(INDEX($AG$1:$AG$55,MATCH(KK$6&amp;$JZ24,$Z$1:$Z$55&amp;$AE$1:$AE$55,0)),"")</f>
        <v/>
      </c>
      <c r="KL24" s="216" t="str" cm="1">
        <f t="array" ref="KL24">IFERROR(INDEX($AG$1:$AG$55,MATCH(KL$6&amp;$JZ24,$Z$1:$Z$55&amp;$AE$1:$AE$55,0)),"")</f>
        <v/>
      </c>
      <c r="KM24" s="240" t="str" cm="1">
        <f t="array" ref="KM24">IFERROR(INDEX($AG$1:$AG$55,MATCH(KM$6&amp;$JZ24,$Z$1:$Z$55&amp;$AE$1:$AE$55,0)),"")</f>
        <v/>
      </c>
    </row>
    <row r="25" spans="1:299" x14ac:dyDescent="0.3">
      <c r="A25" s="210">
        <f>IF(AND(G25&lt;&gt;"",G30="Single Head"),1,0)</f>
        <v>0</v>
      </c>
      <c r="B25" s="19"/>
      <c r="C25" s="28"/>
      <c r="D25" s="21" t="s">
        <v>109</v>
      </c>
      <c r="E25" s="12" t="s">
        <v>1414</v>
      </c>
      <c r="F25" s="169" t="str">
        <f>IF(G30="Single", "No Option", "Change to")</f>
        <v>Change to</v>
      </c>
      <c r="G25" s="46"/>
      <c r="H25" s="48" t="str">
        <f>IF(A25=1,"Invalid Selection","")</f>
        <v/>
      </c>
      <c r="J25" s="30"/>
      <c r="K25" s="30"/>
      <c r="L25" s="30"/>
      <c r="M25" s="3"/>
      <c r="N25" s="69"/>
      <c r="Z25" t="e" cm="1">
        <f t="array" ref="Z25">CONCATENATE(INDEX($CF$3:$CF$23,MATCH($AF$2&amp;"LB",$BT$3:$BT$23&amp;$CC$3:$CC$23,0)),"CUSTOM")</f>
        <v>#N/A</v>
      </c>
      <c r="AA25" t="e">
        <f>INDEX(prd!$BF$5:$BF$40,MATCH(Outfitter!Z25,prd!$BD$5:$BD$40,0))</f>
        <v>#N/A</v>
      </c>
      <c r="AB25" t="e">
        <f>INDEX(prd!$BD$5:$BQ$40,MATCH(Outfitter!$Z25,prd!$BD$5:$BD$40,0),MATCH(Outfitter!$L$1,prd!$BD$5:$BQ$5,0))</f>
        <v>#N/A</v>
      </c>
      <c r="AE25" s="10" t="s">
        <v>123</v>
      </c>
      <c r="AF25" s="179" t="str">
        <f>INDEX(Dtls!CE3:CE210,MATCH(Outfitter!AG25,Dtls!CG3:CG210,0))</f>
        <v>P312</v>
      </c>
      <c r="AG25" s="4" t="str">
        <f t="shared" si="37"/>
        <v>Remo PS3 Sm Wht w/Script</v>
      </c>
      <c r="AI25" s="28" t="s">
        <v>968</v>
      </c>
      <c r="AJ25" t="s">
        <v>961</v>
      </c>
      <c r="AK25" s="9" t="b" cm="1">
        <f t="array" ref="AK25">ISERROR(MATCH("LB"&amp;"SH",AH8:AH20&amp;AO8:AO20,0))</f>
        <v>1</v>
      </c>
      <c r="AL25" t="str">
        <f>IF(AK25=FALSE,"LAC2973SP","OK")</f>
        <v>OK</v>
      </c>
      <c r="AM25" t="s">
        <v>963</v>
      </c>
      <c r="AN25" s="161"/>
      <c r="AP25" t="str">
        <f>CONCATENATE(AU8,AU9,AU10,AU11,AU12,AU13,AU14,AU15,AU16,AU17,AU18,AU19,AU20)</f>
        <v/>
      </c>
      <c r="AU25" s="203"/>
      <c r="AV25" s="207" t="str">
        <f>IF(OR(AND(AV22=TRUE,AW23=TRUE),AND(AV23=TRUE,AW22=TRUE)),"Holder/Brkt Mis-Match","")</f>
        <v/>
      </c>
      <c r="AW25" s="202"/>
      <c r="BI25" s="248" t="s">
        <v>1392</v>
      </c>
      <c r="BJ25" s="246">
        <v>1</v>
      </c>
      <c r="BK25" s="246">
        <v>0</v>
      </c>
      <c r="BL25" s="252" t="s">
        <v>1419</v>
      </c>
      <c r="BM25" s="245"/>
      <c r="BN25" s="250" t="str">
        <f>IF(BJ22&gt;0,BN18,"")</f>
        <v/>
      </c>
      <c r="BO25" s="245" t="s">
        <v>1879</v>
      </c>
      <c r="BP25" s="245"/>
      <c r="BQ25" s="245"/>
      <c r="CN25" s="15" t="s">
        <v>315</v>
      </c>
      <c r="CO25" s="92" t="s">
        <v>316</v>
      </c>
      <c r="CP25" s="14" t="s">
        <v>286</v>
      </c>
      <c r="CQ25" s="14" t="s">
        <v>76</v>
      </c>
      <c r="CR25" s="6" t="str">
        <f t="shared" si="0"/>
        <v>SY: Satin Charcoal</v>
      </c>
      <c r="CT25" s="3" t="str">
        <f t="shared" si="1"/>
        <v>Wrap</v>
      </c>
      <c r="CU25" s="12" t="s">
        <v>15</v>
      </c>
      <c r="CV25" s="15" t="s">
        <v>335</v>
      </c>
      <c r="CW25" s="129" t="str">
        <f t="shared" si="2"/>
        <v>2P: Blue Olive Oyster</v>
      </c>
      <c r="DA25" s="9" t="s">
        <v>17</v>
      </c>
      <c r="DB25" s="9" t="s">
        <v>43</v>
      </c>
      <c r="DC25" t="s">
        <v>1080</v>
      </c>
      <c r="DJ25" s="12" t="s">
        <v>15</v>
      </c>
      <c r="DK25" s="12" t="s">
        <v>24</v>
      </c>
      <c r="DL25" s="12" t="s">
        <v>424</v>
      </c>
      <c r="DM25" s="14" t="s">
        <v>401</v>
      </c>
      <c r="DN25" s="129" t="s">
        <v>1330</v>
      </c>
      <c r="DR25" s="12" t="s">
        <v>15</v>
      </c>
      <c r="DS25" s="12" t="s">
        <v>24</v>
      </c>
      <c r="DT25" s="12" t="s">
        <v>416</v>
      </c>
      <c r="DU25" s="12" t="s">
        <v>399</v>
      </c>
      <c r="DV25" s="95"/>
      <c r="DX25" s="14" t="s">
        <v>70</v>
      </c>
      <c r="DY25" s="12" t="s">
        <v>169</v>
      </c>
      <c r="DZ25" s="12" t="s">
        <v>470</v>
      </c>
      <c r="EC25" s="14" t="s">
        <v>15</v>
      </c>
      <c r="ED25" s="12" t="s">
        <v>73</v>
      </c>
      <c r="EE25" s="12" t="s">
        <v>113</v>
      </c>
      <c r="EF25" s="129" t="s">
        <v>481</v>
      </c>
      <c r="FC25" s="12" t="s">
        <v>58</v>
      </c>
      <c r="FD25" s="12" t="s">
        <v>23</v>
      </c>
      <c r="FE25" s="129" t="s">
        <v>527</v>
      </c>
      <c r="GD25" s="16" t="s">
        <v>23</v>
      </c>
      <c r="GE25" s="9" t="s">
        <v>536</v>
      </c>
      <c r="GF25" s="132" t="str">
        <f t="shared" si="36"/>
        <v>Less Mount / Holder</v>
      </c>
      <c r="GG25" s="9"/>
      <c r="GN25" s="12" t="s">
        <v>562</v>
      </c>
      <c r="GO25" s="14" t="s">
        <v>22</v>
      </c>
      <c r="GP25" s="12" t="s">
        <v>556</v>
      </c>
      <c r="GQ25" s="133" t="str">
        <f t="shared" si="34"/>
        <v>No Legs or Drilling</v>
      </c>
      <c r="GR25" s="12"/>
      <c r="GY25" s="12" t="s">
        <v>148</v>
      </c>
      <c r="GZ25" s="14" t="s">
        <v>518</v>
      </c>
      <c r="HA25" s="12" t="s">
        <v>418</v>
      </c>
      <c r="HB25" s="131" t="str">
        <f t="shared" si="33"/>
        <v>Vibraband w/Triad 12mm</v>
      </c>
      <c r="HC25" s="12"/>
      <c r="HD25" s="12"/>
      <c r="HK25" s="62" t="s">
        <v>197</v>
      </c>
      <c r="HL25" s="62" t="s">
        <v>570</v>
      </c>
      <c r="HM25" s="129" t="s">
        <v>571</v>
      </c>
      <c r="ID25" s="9"/>
      <c r="IF25" s="9"/>
      <c r="IG25" s="9"/>
      <c r="IH25" s="9"/>
      <c r="II25" s="9"/>
      <c r="IJ25" s="9"/>
      <c r="IK25" s="9"/>
      <c r="IU25" t="s">
        <v>24</v>
      </c>
      <c r="IV25" t="s">
        <v>418</v>
      </c>
      <c r="IW25" t="s">
        <v>26</v>
      </c>
      <c r="IX25" t="s">
        <v>899</v>
      </c>
      <c r="JY25" s="11"/>
      <c r="JZ25" s="220" t="s">
        <v>8</v>
      </c>
      <c r="KA25" s="216" t="str" cm="1">
        <f t="array" ref="KA25">IFERROR(INDEX($AG$1:$AG$55,MATCH(KA$6&amp;$JZ25,$Z$1:$Z$55&amp;$AE$1:$AE$55,0)),"")</f>
        <v/>
      </c>
      <c r="KB25" s="216" t="str" cm="1">
        <f t="array" ref="KB25">IFERROR(INDEX($AG$1:$AG$55,MATCH(KB$6&amp;$JZ25,$Z$1:$Z$55&amp;$AE$1:$AE$55,0)),"")</f>
        <v/>
      </c>
      <c r="KC25" s="216" t="str" cm="1">
        <f t="array" ref="KC25">IFERROR(INDEX($AG$1:$AG$55,MATCH(KC$6&amp;$JZ25,$Z$1:$Z$55&amp;$AE$1:$AE$55,0)),"")</f>
        <v/>
      </c>
      <c r="KD25" s="216" t="str" cm="1">
        <f t="array" ref="KD25">IFERROR(INDEX($AG$1:$AG$55,MATCH(KD$6&amp;$JZ25,$Z$1:$Z$55&amp;$AE$1:$AE$55,0)),"")</f>
        <v/>
      </c>
      <c r="KE25" s="216" t="str" cm="1">
        <f t="array" ref="KE25">IFERROR(INDEX($AG$1:$AG$55,MATCH(KE$6&amp;$JZ25,$Z$1:$Z$55&amp;$AE$1:$AE$55,0)),"")</f>
        <v/>
      </c>
      <c r="KF25" s="216" t="str" cm="1">
        <f t="array" ref="KF25">IFERROR(INDEX($AG$1:$AG$55,MATCH(KF$6&amp;$JZ25,$Z$1:$Z$55&amp;$AE$1:$AE$55,0)),"")</f>
        <v/>
      </c>
      <c r="KG25" s="216" t="str" cm="1">
        <f t="array" ref="KG25">IFERROR(INDEX($AG$1:$AG$55,MATCH(KG$6&amp;$JZ25,$Z$1:$Z$55&amp;$AE$1:$AE$55,0)),"")</f>
        <v/>
      </c>
      <c r="KH25" s="216" t="str" cm="1">
        <f t="array" ref="KH25">IFERROR(INDEX($AG$1:$AG$55,MATCH(KH$6&amp;$JZ25,$Z$1:$Z$55&amp;$AE$1:$AE$55,0)),"")</f>
        <v/>
      </c>
      <c r="KI25" s="216" t="str" cm="1">
        <f t="array" ref="KI25">IFERROR(INDEX($AG$1:$AG$55,MATCH(KI$6&amp;$JZ25,$Z$1:$Z$55&amp;$AE$1:$AE$55,0)),"")</f>
        <v/>
      </c>
      <c r="KJ25" s="216" t="str" cm="1">
        <f t="array" ref="KJ25">IFERROR(INDEX($AG$1:$AG$55,MATCH(KJ$6&amp;$JZ25,$Z$1:$Z$55&amp;$AE$1:$AE$55,0)),"")</f>
        <v/>
      </c>
      <c r="KK25" s="216" t="str" cm="1">
        <f t="array" ref="KK25">IFERROR(INDEX($AG$1:$AG$55,MATCH(KK$6&amp;$JZ25,$Z$1:$Z$55&amp;$AE$1:$AE$55,0)),"")</f>
        <v/>
      </c>
      <c r="KL25" s="216" t="str" cm="1">
        <f t="array" ref="KL25">IFERROR(INDEX($AG$1:$AG$55,MATCH(KL$6&amp;$JZ25,$Z$1:$Z$55&amp;$AE$1:$AE$55,0)),"")</f>
        <v/>
      </c>
      <c r="KM25" s="240" t="str" cm="1">
        <f t="array" ref="KM25">IFERROR(INDEX($AG$1:$AG$55,MATCH(KM$6&amp;$JZ25,$Z$1:$Z$55&amp;$AE$1:$AE$55,0)),"")</f>
        <v/>
      </c>
    </row>
    <row r="26" spans="1:299" x14ac:dyDescent="0.3">
      <c r="A26" s="210"/>
      <c r="B26" s="210"/>
      <c r="C26" s="28"/>
      <c r="D26" s="21" t="s">
        <v>112</v>
      </c>
      <c r="E26" s="173" t="s">
        <v>1398</v>
      </c>
      <c r="F26" s="169" t="s">
        <v>103</v>
      </c>
      <c r="G26" s="46"/>
      <c r="H26" s="26"/>
      <c r="J26" s="30"/>
      <c r="K26" s="30"/>
      <c r="L26" s="30"/>
      <c r="M26" s="3"/>
      <c r="N26" s="69"/>
      <c r="Z26" t="e" cm="1">
        <f t="array" ref="Z26">CONCATENATE(INDEX($CF$3:$CF$23,MATCH($AF$2&amp;"LB",$BT$3:$BT$23&amp;$CC$3:$CC$23,0)),"CUSTOM")</f>
        <v>#N/A</v>
      </c>
      <c r="AA26" t="e">
        <f>INDEX(prd!$BF$5:$BF$40,MATCH(Outfitter!Z26,prd!$BD$5:$BD$40,0))</f>
        <v>#N/A</v>
      </c>
      <c r="AB26" t="e">
        <f>INDEX(prd!$BD$5:$BQ$40,MATCH(Outfitter!$Z26,prd!$BD$5:$BD$40,0),MATCH(Outfitter!$L$1,prd!$BD$5:$BQ$5,0))</f>
        <v>#N/A</v>
      </c>
      <c r="AE26" s="10" t="s">
        <v>120</v>
      </c>
      <c r="AF26" s="179" t="str">
        <f>INDEX(Dtls!BJ3:BJ15,MATCH(Outfitter!AG26,Dtls!BK3:BK15,0))</f>
        <v>P313</v>
      </c>
      <c r="AG26" s="4" t="str">
        <f t="shared" si="37"/>
        <v>Remo PS3 Clear Batter</v>
      </c>
      <c r="AI26" s="165" t="s">
        <v>972</v>
      </c>
      <c r="AJ26" s="166" t="s">
        <v>1090</v>
      </c>
      <c r="AK26" s="166" t="b" cm="1">
        <f t="array" ref="AK26">ISERROR(MATCH("LB"&amp;"LL",AH8:AH20&amp;AJ8:AJ20,0))</f>
        <v>1</v>
      </c>
      <c r="AL26" s="166" t="str">
        <f>IF(AK26=FALSE,"LAC2973SP","OK")</f>
        <v>OK</v>
      </c>
      <c r="AM26" s="166" t="s">
        <v>974</v>
      </c>
      <c r="AN26" s="167"/>
      <c r="AU26" s="204"/>
      <c r="AV26" s="205"/>
      <c r="AW26" s="206"/>
      <c r="BI26" s="248" t="s">
        <v>1393</v>
      </c>
      <c r="BJ26" s="246">
        <v>0</v>
      </c>
      <c r="BK26" s="246">
        <v>1</v>
      </c>
      <c r="BL26" s="251" t="s">
        <v>1417</v>
      </c>
      <c r="BM26" s="245"/>
      <c r="BN26" s="250" t="str">
        <f>IF(BK22&gt;0,BN19,"")</f>
        <v/>
      </c>
      <c r="BO26" s="245" t="s">
        <v>1881</v>
      </c>
      <c r="BP26" s="245"/>
      <c r="BQ26" s="245"/>
      <c r="CN26" s="15" t="s">
        <v>317</v>
      </c>
      <c r="CO26" s="92" t="s">
        <v>318</v>
      </c>
      <c r="CP26" s="14" t="s">
        <v>286</v>
      </c>
      <c r="CQ26" s="14" t="s">
        <v>76</v>
      </c>
      <c r="CR26" s="6" t="str">
        <f t="shared" si="0"/>
        <v>SL: Satin Cherry</v>
      </c>
      <c r="CT26" s="3" t="str">
        <f t="shared" si="1"/>
        <v>Wrap</v>
      </c>
      <c r="CU26" s="12" t="s">
        <v>16</v>
      </c>
      <c r="CV26" s="15" t="s">
        <v>335</v>
      </c>
      <c r="CW26" s="129" t="str">
        <f t="shared" si="2"/>
        <v>2P: Blue Olive Oyster</v>
      </c>
      <c r="DA26" s="9" t="s">
        <v>17</v>
      </c>
      <c r="DB26" s="9" t="s">
        <v>43</v>
      </c>
      <c r="DC26" t="s">
        <v>1344</v>
      </c>
      <c r="DJ26" s="12" t="s">
        <v>15</v>
      </c>
      <c r="DK26" s="12" t="s">
        <v>24</v>
      </c>
      <c r="DL26" s="12" t="s">
        <v>424</v>
      </c>
      <c r="DM26" s="14" t="s">
        <v>395</v>
      </c>
      <c r="DN26" s="129" t="s">
        <v>199</v>
      </c>
      <c r="DR26" s="12" t="s">
        <v>16</v>
      </c>
      <c r="DS26" s="12" t="s">
        <v>24</v>
      </c>
      <c r="DT26" s="12" t="s">
        <v>416</v>
      </c>
      <c r="DU26" s="12" t="s">
        <v>397</v>
      </c>
      <c r="DV26" s="95"/>
      <c r="DX26" s="14" t="s">
        <v>70</v>
      </c>
      <c r="DY26" s="12" t="s">
        <v>175</v>
      </c>
      <c r="DZ26" s="12" t="s">
        <v>471</v>
      </c>
      <c r="EC26" s="14" t="s">
        <v>15</v>
      </c>
      <c r="ED26" s="12" t="s">
        <v>73</v>
      </c>
      <c r="EE26" s="12" t="s">
        <v>116</v>
      </c>
      <c r="EF26" s="129" t="s">
        <v>482</v>
      </c>
      <c r="FC26" s="14" t="s">
        <v>71</v>
      </c>
      <c r="FD26" s="14" t="s">
        <v>22</v>
      </c>
      <c r="FE26" s="129" t="s">
        <v>519</v>
      </c>
      <c r="GF26" s="132"/>
      <c r="GN26" s="12" t="s">
        <v>562</v>
      </c>
      <c r="GO26" s="14" t="s">
        <v>22</v>
      </c>
      <c r="GP26" s="12" t="s">
        <v>558</v>
      </c>
      <c r="GQ26" s="133" t="str">
        <f t="shared" si="34"/>
        <v>Triad Brkts/Legs 12mm</v>
      </c>
      <c r="GR26" s="12"/>
      <c r="GY26" s="12" t="s">
        <v>148</v>
      </c>
      <c r="GZ26" s="14" t="s">
        <v>518</v>
      </c>
      <c r="HA26" s="12" t="s">
        <v>425</v>
      </c>
      <c r="HB26" s="131" t="str">
        <f t="shared" si="33"/>
        <v>Atlas Mount 12mm</v>
      </c>
      <c r="HC26" s="12"/>
      <c r="HD26" s="12"/>
      <c r="HK26" s="62" t="s">
        <v>192</v>
      </c>
      <c r="HL26" s="62" t="s">
        <v>576</v>
      </c>
      <c r="HM26" s="129" t="s">
        <v>577</v>
      </c>
      <c r="ID26" s="9" t="s">
        <v>1290</v>
      </c>
      <c r="IF26" s="9" t="s">
        <v>110</v>
      </c>
      <c r="IG26" s="110" t="str">
        <f t="shared" ref="IG26:IG35" si="38">IF($AF$42="SH",CONCATENATE("LFS8",ID26),CONCATENATE("LF8",ID26))</f>
        <v>LF824</v>
      </c>
      <c r="IH26" s="9" t="s">
        <v>677</v>
      </c>
      <c r="II26" s="9" t="s">
        <v>678</v>
      </c>
      <c r="IJ26" s="9" t="s">
        <v>679</v>
      </c>
      <c r="IK26" s="9" t="s">
        <v>680</v>
      </c>
      <c r="IQ26" s="33"/>
      <c r="IU26" t="s">
        <v>24</v>
      </c>
      <c r="IV26" s="12" t="s">
        <v>413</v>
      </c>
      <c r="IW26" t="s">
        <v>518</v>
      </c>
      <c r="IX26" t="s">
        <v>889</v>
      </c>
      <c r="JY26" s="11"/>
      <c r="JZ26" s="220" t="s">
        <v>1326</v>
      </c>
      <c r="KA26" s="216" t="str" cm="1">
        <f t="array" ref="KA26">IFERROR(INDEX($AG$1:$AG$55,MATCH(KA$6&amp;$JZ26,$Z$1:$Z$55&amp;$AE$1:$AE$55,0)),"")</f>
        <v/>
      </c>
      <c r="KB26" s="216" t="str" cm="1">
        <f t="array" ref="KB26">IFERROR(INDEX($AG$1:$AG$55,MATCH(KB$6&amp;$JZ26,$Z$1:$Z$55&amp;$AE$1:$AE$55,0)),"")</f>
        <v/>
      </c>
      <c r="KC26" s="216" t="str" cm="1">
        <f t="array" ref="KC26">IFERROR(INDEX($AG$1:$AG$55,MATCH(KC$6&amp;$JZ26,$Z$1:$Z$55&amp;$AE$1:$AE$55,0)),"")</f>
        <v/>
      </c>
      <c r="KD26" s="216" t="str" cm="1">
        <f t="array" ref="KD26">IFERROR(INDEX($AG$1:$AG$55,MATCH(KD$6&amp;$JZ26,$Z$1:$Z$55&amp;$AE$1:$AE$55,0)),"")</f>
        <v/>
      </c>
      <c r="KE26" s="216" t="str" cm="1">
        <f t="array" ref="KE26">IFERROR(INDEX($AG$1:$AG$55,MATCH(KE$6&amp;$JZ26,$Z$1:$Z$55&amp;$AE$1:$AE$55,0)),"")</f>
        <v/>
      </c>
      <c r="KF26" s="216" t="str" cm="1">
        <f t="array" ref="KF26">IFERROR(INDEX($AG$1:$AG$55,MATCH(KF$6&amp;$JZ26,$Z$1:$Z$55&amp;$AE$1:$AE$55,0)),"")</f>
        <v/>
      </c>
      <c r="KG26" s="216" t="str" cm="1">
        <f t="array" ref="KG26">IFERROR(INDEX($AG$1:$AG$55,MATCH(KG$6&amp;$JZ26,$Z$1:$Z$55&amp;$AE$1:$AE$55,0)),"")</f>
        <v/>
      </c>
      <c r="KH26" s="216" t="str" cm="1">
        <f t="array" ref="KH26">IFERROR(INDEX($AG$1:$AG$55,MATCH(KH$6&amp;$JZ26,$Z$1:$Z$55&amp;$AE$1:$AE$55,0)),"")</f>
        <v/>
      </c>
      <c r="KI26" s="216" t="str" cm="1">
        <f t="array" ref="KI26">IFERROR(INDEX($AG$1:$AG$55,MATCH(KI$6&amp;$JZ26,$Z$1:$Z$55&amp;$AE$1:$AE$55,0)),"")</f>
        <v/>
      </c>
      <c r="KJ26" s="216" t="str" cm="1">
        <f t="array" ref="KJ26">IFERROR(INDEX($AG$1:$AG$55,MATCH(KJ$6&amp;$JZ26,$Z$1:$Z$55&amp;$AE$1:$AE$55,0)),"")</f>
        <v/>
      </c>
      <c r="KK26" s="216" t="str" cm="1">
        <f t="array" ref="KK26">IFERROR(INDEX($AG$1:$AG$55,MATCH(KK$6&amp;$JZ26,$Z$1:$Z$55&amp;$AE$1:$AE$55,0)),"")</f>
        <v/>
      </c>
      <c r="KL26" s="216" t="str" cm="1">
        <f t="array" ref="KL26">IFERROR(INDEX($AG$1:$AG$55,MATCH(KL$6&amp;$JZ26,$Z$1:$Z$55&amp;$AE$1:$AE$55,0)),"")</f>
        <v/>
      </c>
      <c r="KM26" s="240" t="str" cm="1">
        <f t="array" ref="KM26">IFERROR(INDEX($AG$1:$AG$55,MATCH(KM$6&amp;$JZ26,$Z$1:$Z$55&amp;$AE$1:$AE$55,0)),"")</f>
        <v/>
      </c>
    </row>
    <row r="27" spans="1:299" ht="15" thickBot="1" x14ac:dyDescent="0.35">
      <c r="A27" s="210">
        <f>IF(H27="Invalid Selection",1,0)</f>
        <v>0</v>
      </c>
      <c r="B27" s="19"/>
      <c r="C27" s="28"/>
      <c r="D27" s="21" t="s">
        <v>114</v>
      </c>
      <c r="E27" s="9" t="s">
        <v>115</v>
      </c>
      <c r="F27" s="169" t="str">
        <f>IF(AK23=FALSE,"No Option", "Change to")</f>
        <v>Change to</v>
      </c>
      <c r="G27" s="46"/>
      <c r="H27" s="48" t="str">
        <f>IF($G$27="","",IF(ISERROR(MATCH($G$27,Dtls!CQ5:CQ7,0))=FALSE,"","Invalid Selection"))</f>
        <v/>
      </c>
      <c r="J27" s="30"/>
      <c r="K27" s="30"/>
      <c r="L27" s="30"/>
      <c r="M27" s="23"/>
      <c r="N27" s="69"/>
      <c r="W27" s="12"/>
      <c r="Z27" t="e" cm="1">
        <f t="array" ref="Z27">CONCATENATE(INDEX($CF$3:$CF$23,MATCH($AF$2&amp;"LB",$BT$3:$BT$23&amp;$CC$3:$CC$23,0)),"CUSTOM")</f>
        <v>#N/A</v>
      </c>
      <c r="AA27" t="e">
        <f>INDEX(prd!$BF$5:$BF$40,MATCH(Outfitter!Z27,prd!$BD$5:$BD$40,0))</f>
        <v>#N/A</v>
      </c>
      <c r="AB27" t="e">
        <f>INDEX(prd!$BD$5:$BQ$40,MATCH(Outfitter!$Z27,prd!$BD$5:$BD$40,0),MATCH(Outfitter!$L$1,prd!$BD$5:$BQ$5,0))</f>
        <v>#N/A</v>
      </c>
      <c r="AE27" s="10" t="s">
        <v>1264</v>
      </c>
      <c r="AF27" s="179" t="str">
        <f>INDEX(Dtls!CN4:CN6,MATCH(Outfitter!AG27,Dtls!CO4:CO6,0))</f>
        <v>K</v>
      </c>
      <c r="AG27" s="4" t="str">
        <f t="shared" si="37"/>
        <v>Keyrods</v>
      </c>
      <c r="AI27" s="29" t="s">
        <v>979</v>
      </c>
      <c r="AJ27" s="162" t="s">
        <v>975</v>
      </c>
      <c r="AK27" s="163" t="b" cm="1">
        <f t="array" ref="AK27">AND(ISERROR(MATCH("LB"&amp;"ML",AH8:AH20&amp;AJ8:AJ20,0)), ISERROR(MATCH("LB"&amp;"CL",AH8:AH20&amp;AJ8:AJ20,0)))</f>
        <v>1</v>
      </c>
      <c r="AL27" s="162" t="str">
        <f>IF(AND(AK23=FALSE,AK27=TRUE),"PC4006 Folding Spurs","LR2974 Elite Spurs")</f>
        <v>LR2974 Elite Spurs</v>
      </c>
      <c r="AM27" s="162"/>
      <c r="AN27" s="164"/>
      <c r="AV27" s="9"/>
      <c r="AW27" s="9"/>
      <c r="BI27" s="248" t="s">
        <v>1394</v>
      </c>
      <c r="BJ27" s="246">
        <v>1</v>
      </c>
      <c r="BK27" s="246">
        <v>1</v>
      </c>
      <c r="BL27" s="249" t="s">
        <v>1878</v>
      </c>
      <c r="BM27" s="245"/>
      <c r="BN27" s="250"/>
      <c r="BO27" s="245"/>
      <c r="BP27" s="245"/>
      <c r="BQ27" s="245"/>
      <c r="CN27" s="15" t="s">
        <v>319</v>
      </c>
      <c r="CO27" s="92" t="s">
        <v>320</v>
      </c>
      <c r="CP27" s="14" t="s">
        <v>286</v>
      </c>
      <c r="CQ27" s="14" t="s">
        <v>76</v>
      </c>
      <c r="CR27" s="6" t="str">
        <f t="shared" si="0"/>
        <v>SM: Satin Mahogany</v>
      </c>
      <c r="CT27" s="3" t="str">
        <f t="shared" si="1"/>
        <v>Wrap</v>
      </c>
      <c r="CU27" s="12" t="s">
        <v>17</v>
      </c>
      <c r="CV27" s="15" t="s">
        <v>335</v>
      </c>
      <c r="CW27" s="129" t="str">
        <f t="shared" si="2"/>
        <v>2P: Blue Olive Oyster</v>
      </c>
      <c r="DA27" s="9" t="s">
        <v>17</v>
      </c>
      <c r="DB27" s="9" t="s">
        <v>76</v>
      </c>
      <c r="DC27" t="s">
        <v>1080</v>
      </c>
      <c r="DJ27" s="12" t="s">
        <v>15</v>
      </c>
      <c r="DK27" s="12" t="s">
        <v>24</v>
      </c>
      <c r="DL27" s="12" t="s">
        <v>424</v>
      </c>
      <c r="DM27" s="14" t="s">
        <v>420</v>
      </c>
      <c r="DN27" s="129" t="s">
        <v>1272</v>
      </c>
      <c r="DR27" s="12" t="s">
        <v>18</v>
      </c>
      <c r="DS27" s="12" t="s">
        <v>24</v>
      </c>
      <c r="DT27" s="12" t="s">
        <v>416</v>
      </c>
      <c r="DU27" s="12" t="s">
        <v>397</v>
      </c>
      <c r="DV27" s="95"/>
      <c r="DX27" s="14" t="s">
        <v>70</v>
      </c>
      <c r="DY27" s="12" t="s">
        <v>176</v>
      </c>
      <c r="DZ27" s="12" t="s">
        <v>472</v>
      </c>
      <c r="EC27" s="14" t="s">
        <v>15</v>
      </c>
      <c r="ED27" s="12" t="s">
        <v>73</v>
      </c>
      <c r="EE27" s="12" t="s">
        <v>118</v>
      </c>
      <c r="EF27" s="129" t="s">
        <v>483</v>
      </c>
      <c r="FC27" s="14" t="s">
        <v>71</v>
      </c>
      <c r="FD27" s="14" t="s">
        <v>518</v>
      </c>
      <c r="FE27" s="129" t="s">
        <v>1337</v>
      </c>
      <c r="GN27" s="12"/>
      <c r="GO27" s="14"/>
      <c r="GY27" s="12" t="s">
        <v>148</v>
      </c>
      <c r="GZ27" s="14" t="s">
        <v>16</v>
      </c>
      <c r="HA27" s="12" t="s">
        <v>413</v>
      </c>
      <c r="HB27" s="131" t="str">
        <f t="shared" si="33"/>
        <v>No Mounting Bracket</v>
      </c>
      <c r="HC27" s="12"/>
      <c r="HD27" s="12"/>
      <c r="HK27" s="62" t="s">
        <v>197</v>
      </c>
      <c r="HL27" s="62" t="s">
        <v>576</v>
      </c>
      <c r="HM27" s="129" t="s">
        <v>577</v>
      </c>
      <c r="ID27" s="9" t="s">
        <v>1295</v>
      </c>
      <c r="IF27" s="9" t="s">
        <v>113</v>
      </c>
      <c r="IG27" s="110" t="str">
        <f t="shared" si="38"/>
        <v>LF834</v>
      </c>
      <c r="IH27" s="9" t="s">
        <v>681</v>
      </c>
      <c r="II27" s="9" t="s">
        <v>682</v>
      </c>
      <c r="IJ27" s="9" t="s">
        <v>683</v>
      </c>
      <c r="IK27" s="9" t="s">
        <v>684</v>
      </c>
      <c r="IN27" s="9" t="s">
        <v>20</v>
      </c>
      <c r="IO27" s="9" t="s">
        <v>876</v>
      </c>
      <c r="IP27" t="s">
        <v>865</v>
      </c>
      <c r="IQ27" s="6" t="s">
        <v>28</v>
      </c>
      <c r="IU27" t="s">
        <v>24</v>
      </c>
      <c r="IV27" s="12" t="s">
        <v>413</v>
      </c>
      <c r="IW27" t="s">
        <v>16</v>
      </c>
      <c r="IX27" t="s">
        <v>890</v>
      </c>
      <c r="JY27" s="11"/>
      <c r="JZ27" s="220" t="s">
        <v>120</v>
      </c>
      <c r="KA27" s="216" t="str" cm="1">
        <f t="array" ref="KA27">IFERROR(INDEX($AG$1:$AG$55,MATCH(KA$6&amp;$JZ27,$Z$1:$Z$55&amp;$AE$1:$AE$55,0)),"")</f>
        <v/>
      </c>
      <c r="KB27" s="216" t="str" cm="1">
        <f t="array" ref="KB27">IFERROR(INDEX($AG$1:$AG$55,MATCH(KB$6&amp;$JZ27,$Z$1:$Z$55&amp;$AE$1:$AE$55,0)),"")</f>
        <v/>
      </c>
      <c r="KC27" s="216" t="str" cm="1">
        <f t="array" ref="KC27">IFERROR(INDEX($AG$1:$AG$55,MATCH(KC$6&amp;$JZ27,$Z$1:$Z$55&amp;$AE$1:$AE$55,0)),"")</f>
        <v/>
      </c>
      <c r="KD27" s="216" t="str" cm="1">
        <f t="array" ref="KD27">IFERROR(INDEX($AG$1:$AG$55,MATCH(KD$6&amp;$JZ27,$Z$1:$Z$55&amp;$AE$1:$AE$55,0)),"")</f>
        <v/>
      </c>
      <c r="KE27" s="216" t="str" cm="1">
        <f t="array" ref="KE27">IFERROR(INDEX($AG$1:$AG$55,MATCH(KE$6&amp;$JZ27,$Z$1:$Z$55&amp;$AE$1:$AE$55,0)),"")</f>
        <v/>
      </c>
      <c r="KF27" s="216" t="str" cm="1">
        <f t="array" ref="KF27">IFERROR(INDEX($AG$1:$AG$55,MATCH(KF$6&amp;$JZ27,$Z$1:$Z$55&amp;$AE$1:$AE$55,0)),"")</f>
        <v/>
      </c>
      <c r="KG27" s="216" t="str" cm="1">
        <f t="array" ref="KG27">IFERROR(INDEX($AG$1:$AG$55,MATCH(KG$6&amp;$JZ27,$Z$1:$Z$55&amp;$AE$1:$AE$55,0)),"")</f>
        <v/>
      </c>
      <c r="KH27" s="216" t="str" cm="1">
        <f t="array" ref="KH27">IFERROR(INDEX($AG$1:$AG$55,MATCH(KH$6&amp;$JZ27,$Z$1:$Z$55&amp;$AE$1:$AE$55,0)),"")</f>
        <v/>
      </c>
      <c r="KI27" s="216" t="str" cm="1">
        <f t="array" ref="KI27">IFERROR(INDEX($AG$1:$AG$55,MATCH(KI$6&amp;$JZ27,$Z$1:$Z$55&amp;$AE$1:$AE$55,0)),"")</f>
        <v/>
      </c>
      <c r="KJ27" s="216" t="str" cm="1">
        <f t="array" ref="KJ27">IFERROR(INDEX($AG$1:$AG$55,MATCH(KJ$6&amp;$JZ27,$Z$1:$Z$55&amp;$AE$1:$AE$55,0)),"")</f>
        <v/>
      </c>
      <c r="KK27" s="216" t="str" cm="1">
        <f t="array" ref="KK27">IFERROR(INDEX($AG$1:$AG$55,MATCH(KK$6&amp;$JZ27,$Z$1:$Z$55&amp;$AE$1:$AE$55,0)),"")</f>
        <v/>
      </c>
      <c r="KL27" s="216" t="str" cm="1">
        <f t="array" ref="KL27">IFERROR(INDEX($AG$1:$AG$55,MATCH(KL$6&amp;$JZ27,$Z$1:$Z$55&amp;$AE$1:$AE$55,0)),"")</f>
        <v/>
      </c>
      <c r="KM27" s="240" t="str" cm="1">
        <f t="array" ref="KM27">IFERROR(INDEX($AG$1:$AG$55,MATCH(KM$6&amp;$JZ27,$Z$1:$Z$55&amp;$AE$1:$AE$55,0)),"")</f>
        <v/>
      </c>
    </row>
    <row r="28" spans="1:299" x14ac:dyDescent="0.3">
      <c r="A28" s="210">
        <f>IF(H28="Invalid Selection",1,0)</f>
        <v>0</v>
      </c>
      <c r="B28" s="19"/>
      <c r="C28" s="38"/>
      <c r="D28" s="21" t="s">
        <v>29</v>
      </c>
      <c r="E28" s="12" t="s">
        <v>1097</v>
      </c>
      <c r="F28" s="169" t="str">
        <f>IF(Dtls!CU10 = "NO","Change to","No Option")</f>
        <v>Change to</v>
      </c>
      <c r="G28" s="46"/>
      <c r="H28" s="48" t="str">
        <f>IF($G$28="","",IF(ISERROR(MATCH($G$28,Dtls!CW4:CW7,0))=FALSE,"","Invalid Selection"))</f>
        <v/>
      </c>
      <c r="J28" s="30"/>
      <c r="K28" s="30"/>
      <c r="L28" s="30"/>
      <c r="M28" s="23"/>
      <c r="N28" s="69"/>
      <c r="W28" s="12"/>
      <c r="Z28" t="e" cm="1">
        <f t="array" ref="Z28">CONCATENATE(INDEX($CF$3:$CF$23,MATCH($AF$2&amp;"LB",$BT$3:$BT$23&amp;$CC$3:$CC$23,0)),"CUSTOM")</f>
        <v>#N/A</v>
      </c>
      <c r="AA28" t="e">
        <f>INDEX(prd!$BF$5:$BF$40,MATCH(Outfitter!Z28,prd!$BD$5:$BD$40,0))</f>
        <v>#N/A</v>
      </c>
      <c r="AB28" t="e">
        <f>INDEX(prd!$BD$5:$BQ$40,MATCH(Outfitter!$Z28,prd!$BD$5:$BD$40,0),MATCH(Outfitter!$L$1,prd!$BD$5:$BQ$5,0))</f>
        <v>#N/A</v>
      </c>
      <c r="AE28" s="10" t="s">
        <v>29</v>
      </c>
      <c r="AF28" s="179" t="str">
        <f>INDEX(Dtls!CT3:CT7,MATCH(Outfitter!AG28,Dtls!CU3:CU7,0))</f>
        <v>N</v>
      </c>
      <c r="AG28" s="4" t="str">
        <f t="shared" si="37"/>
        <v>No ShellMount</v>
      </c>
      <c r="BI28" s="245"/>
      <c r="BJ28" s="245"/>
      <c r="BK28" s="245"/>
      <c r="BL28" s="247"/>
      <c r="BM28" s="245"/>
      <c r="BN28" s="245"/>
      <c r="BO28" s="245"/>
      <c r="BP28" s="245"/>
      <c r="BQ28" s="245"/>
      <c r="CN28" s="15" t="s">
        <v>321</v>
      </c>
      <c r="CO28" s="92" t="s">
        <v>63</v>
      </c>
      <c r="CP28" s="14" t="s">
        <v>286</v>
      </c>
      <c r="CQ28" s="14" t="s">
        <v>76</v>
      </c>
      <c r="CR28" s="6" t="str">
        <f t="shared" si="0"/>
        <v>SN: Satin Natural</v>
      </c>
      <c r="CT28" s="3" t="str">
        <f t="shared" si="1"/>
        <v>Wrap</v>
      </c>
      <c r="CU28" s="12" t="s">
        <v>19</v>
      </c>
      <c r="CV28" s="15" t="s">
        <v>335</v>
      </c>
      <c r="CW28" s="129" t="str">
        <f t="shared" si="2"/>
        <v>2P: Blue Olive Oyster</v>
      </c>
      <c r="DA28" s="9" t="s">
        <v>17</v>
      </c>
      <c r="DB28" s="9" t="s">
        <v>76</v>
      </c>
      <c r="DC28" t="s">
        <v>1344</v>
      </c>
      <c r="DJ28" s="12" t="s">
        <v>15</v>
      </c>
      <c r="DK28" s="12" t="s">
        <v>24</v>
      </c>
      <c r="DL28" s="12" t="s">
        <v>425</v>
      </c>
      <c r="DM28" s="14" t="s">
        <v>399</v>
      </c>
      <c r="DN28" s="129" t="s">
        <v>1330</v>
      </c>
      <c r="DR28" s="12" t="s">
        <v>15</v>
      </c>
      <c r="DS28" s="12" t="s">
        <v>24</v>
      </c>
      <c r="DT28" s="12" t="s">
        <v>419</v>
      </c>
      <c r="DU28" s="12" t="s">
        <v>401</v>
      </c>
      <c r="DV28" s="95"/>
      <c r="DX28" s="14" t="s">
        <v>70</v>
      </c>
      <c r="DY28" s="12" t="s">
        <v>178</v>
      </c>
      <c r="DZ28" s="12" t="s">
        <v>473</v>
      </c>
      <c r="EC28" s="14" t="s">
        <v>15</v>
      </c>
      <c r="ED28" s="12" t="s">
        <v>73</v>
      </c>
      <c r="EE28" s="12" t="s">
        <v>122</v>
      </c>
      <c r="EF28" s="129" t="s">
        <v>484</v>
      </c>
      <c r="FC28" s="14" t="s">
        <v>71</v>
      </c>
      <c r="FD28" s="14" t="s">
        <v>16</v>
      </c>
      <c r="FE28" s="129" t="s">
        <v>1338</v>
      </c>
      <c r="GE28" s="9"/>
      <c r="GN28" s="12"/>
      <c r="GO28" s="14"/>
      <c r="GY28" s="12" t="s">
        <v>148</v>
      </c>
      <c r="GZ28" s="14" t="s">
        <v>16</v>
      </c>
      <c r="HA28" s="12" t="s">
        <v>419</v>
      </c>
      <c r="HB28" s="131" t="str">
        <f t="shared" si="33"/>
        <v>Ludwig Classic 9.5mm</v>
      </c>
      <c r="HC28" s="12"/>
      <c r="HD28" s="12"/>
      <c r="HK28" s="62" t="s">
        <v>191</v>
      </c>
      <c r="HL28" s="62" t="s">
        <v>572</v>
      </c>
      <c r="HM28" s="129" t="s">
        <v>573</v>
      </c>
      <c r="ID28" s="9" t="s">
        <v>1291</v>
      </c>
      <c r="IF28" s="9" t="s">
        <v>116</v>
      </c>
      <c r="IG28" s="110" t="str">
        <f t="shared" si="38"/>
        <v>LF844</v>
      </c>
      <c r="IH28" s="9" t="s">
        <v>685</v>
      </c>
      <c r="II28" s="9" t="s">
        <v>686</v>
      </c>
      <c r="IJ28" s="9" t="s">
        <v>687</v>
      </c>
      <c r="IK28" s="9" t="s">
        <v>688</v>
      </c>
      <c r="IN28" s="9" t="s">
        <v>73</v>
      </c>
      <c r="IO28" s="9" t="s">
        <v>555</v>
      </c>
      <c r="IP28" t="s">
        <v>866</v>
      </c>
      <c r="IQ28" s="33" t="s">
        <v>18</v>
      </c>
      <c r="IU28" t="s">
        <v>24</v>
      </c>
      <c r="IV28" s="12" t="s">
        <v>413</v>
      </c>
      <c r="IW28" t="s">
        <v>25</v>
      </c>
      <c r="IX28" t="s">
        <v>892</v>
      </c>
      <c r="JY28" s="11"/>
      <c r="JZ28" s="220" t="s">
        <v>123</v>
      </c>
      <c r="KA28" s="216" t="str" cm="1">
        <f t="array" ref="KA28">IFERROR(IF(KA8 = "Snare",BL8, INDEX($AG$1:$AG$55,MATCH(KA$6&amp;$JZ28,$Z$1:$Z$55&amp;$AE$1:$AE$55,0))),"")</f>
        <v/>
      </c>
      <c r="KB28" s="216" t="str" cm="1">
        <f t="array" ref="KB28">IFERROR(IF(KB8 = "Snare",BL9, INDEX($AG$1:$AG$55,MATCH(KB$6&amp;$JZ28,$Z$1:$Z$55&amp;$AE$1:$AE$55,0))),"")</f>
        <v/>
      </c>
      <c r="KC28" s="216" t="str" cm="1">
        <f t="array" ref="KC28">IFERROR(IF(KC8 = "Snare",BL10, INDEX($AG$1:$AG$55,MATCH(KC$6&amp;$JZ28,$Z$1:$Z$55&amp;$AE$1:$AE$55,0))),"")</f>
        <v/>
      </c>
      <c r="KD28" s="216" t="str" cm="1">
        <f t="array" ref="KD28">IFERROR(IF(KD8 = "Snare",BL11, INDEX($AG$1:$AG$55,MATCH(KD$6&amp;$JZ28,$Z$1:$Z$55&amp;$AE$1:$AE$55,0))),"")</f>
        <v/>
      </c>
      <c r="KE28" s="216" t="str" cm="1">
        <f t="array" ref="KE28">IFERROR(IF(KE8 = "Snare",BL12, INDEX($AG$1:$AG$55,MATCH(KE$6&amp;$JZ28,$Z$1:$Z$55&amp;$AE$1:$AE$55,0))),"")</f>
        <v/>
      </c>
      <c r="KF28" s="216" t="str" cm="1">
        <f t="array" ref="KF28">IFERROR(IF(KF8 = "Snare",BL13, INDEX($AG$1:$AG$55,MATCH(KF$6&amp;$JZ28,$Z$1:$Z$55&amp;$AE$1:$AE$55,0))),"")</f>
        <v/>
      </c>
      <c r="KG28" s="216" t="str" cm="1">
        <f t="array" ref="KG28">IFERROR(IF(KG8 = "Snare",BL14, INDEX($AG$1:$AG$55,MATCH(KG$6&amp;$JZ28,$Z$1:$Z$55&amp;$AE$1:$AE$55,0))),"")</f>
        <v/>
      </c>
      <c r="KH28" s="216" t="str" cm="1">
        <f t="array" ref="KH28">IFERROR(IF(KH8 = "Snare",BL15, INDEX($AG$1:$AG$55,MATCH(KH$6&amp;$JZ28,$Z$1:$Z$55&amp;$AE$1:$AE$55,0))),"")</f>
        <v/>
      </c>
      <c r="KI28" s="216" t="str" cm="1">
        <f t="array" ref="KI28">IFERROR(IF(KI8 = "Snare",BL16, INDEX($AG$1:$AG$55,MATCH(KI$6&amp;$JZ28,$Z$1:$Z$55&amp;$AE$1:$AE$55,0))),"")</f>
        <v/>
      </c>
      <c r="KJ28" s="216" t="str" cm="1">
        <f t="array" ref="KJ28">IFERROR(IF(KJ8 = "Snare",BL17, INDEX($AG$1:$AG$55,MATCH(KJ$6&amp;$JZ28,$Z$1:$Z$55&amp;$AE$1:$AE$55,0))),"")</f>
        <v/>
      </c>
      <c r="KK28" s="216" t="str" cm="1">
        <f t="array" ref="KK28">IFERROR(IF(KK8 = "Snare",BL18, INDEX($AG$1:$AG$55,MATCH(KK$6&amp;$JZ28,$Z$1:$Z$55&amp;$AE$1:$AE$55,0))),"")</f>
        <v/>
      </c>
      <c r="KL28" s="216" t="str" cm="1">
        <f t="array" ref="KL28">IFERROR(IF(KL8 = "Snare",BL19, INDEX($AG$1:$AG$55,MATCH(KL$6&amp;$JZ28,$Z$1:$Z$55&amp;$AE$1:$AE$55,0))),"")</f>
        <v/>
      </c>
      <c r="KM28" s="216" t="str" cm="1">
        <f t="array" ref="KM28">IFERROR(IF(KM8 = "Snare",BL20, INDEX($AG$1:$AG$55,MATCH(KM$6&amp;$JZ28,$Z$1:$Z$55&amp;$AE$1:$AE$55,0))),"")</f>
        <v/>
      </c>
    </row>
    <row r="29" spans="1:299" x14ac:dyDescent="0.3">
      <c r="A29" s="210">
        <f>IF(H29="Invalid Selection",1,0)</f>
        <v>0</v>
      </c>
      <c r="B29" s="19"/>
      <c r="C29" s="28"/>
      <c r="D29" s="21" t="s">
        <v>121</v>
      </c>
      <c r="E29" s="9" t="str">
        <f>IFERROR(INDEX(Dtls!DF3:DF8,MATCH(Outfitter!AF2,Dtls!DD3:DD8,0)),"Shell Dependent")</f>
        <v>Shell Dependent</v>
      </c>
      <c r="F29" s="169" t="e">
        <f>IF($AF$2&lt;&gt;"L8","No Option","Change to")</f>
        <v>#N/A</v>
      </c>
      <c r="G29" s="46"/>
      <c r="H29" s="48" t="str">
        <f>IF($G$29="","",IF(ISERROR(MATCH($G$29,Dtls!DM4:DM8,0))=FALSE,"","Invalid Selection"))</f>
        <v/>
      </c>
      <c r="J29" s="30"/>
      <c r="K29" s="30"/>
      <c r="L29" s="30"/>
      <c r="M29" s="23"/>
      <c r="N29" s="69"/>
      <c r="Z29" t="e" cm="1">
        <f t="array" ref="Z29">CONCATENATE(INDEX($CF$3:$CF$23,MATCH($AF$2&amp;"LB",$BT$3:$BT$23&amp;$CC$3:$CC$23,0)),"CUSTOM")</f>
        <v>#N/A</v>
      </c>
      <c r="AA29" t="e">
        <f>INDEX(prd!$BF$5:$BF$40,MATCH(Outfitter!Z29,prd!$BD$5:$BD$40,0))</f>
        <v>#N/A</v>
      </c>
      <c r="AB29" t="e">
        <f>INDEX(prd!$BD$5:$BQ$40,MATCH(Outfitter!$Z29,prd!$BD$5:$BD$40,0),MATCH(Outfitter!$L$1,prd!$BD$5:$BQ$5,0))</f>
        <v>#N/A</v>
      </c>
      <c r="AE29" s="10" t="s">
        <v>1265</v>
      </c>
      <c r="AF29" s="179" t="e">
        <f>INDEX(Dtls!CZ3:CZ7,MATCH(Outfitter!AG29,Dtls!DA3:DA7,0))</f>
        <v>#N/A</v>
      </c>
      <c r="AG29" s="4" t="str">
        <f t="shared" si="37"/>
        <v>Shell Dependent</v>
      </c>
      <c r="AI29" t="s">
        <v>969</v>
      </c>
      <c r="AU29" t="s">
        <v>1280</v>
      </c>
      <c r="BI29" s="245"/>
      <c r="BJ29" s="246"/>
      <c r="BK29" s="245"/>
      <c r="BL29" s="245"/>
      <c r="BM29" s="245"/>
      <c r="BN29" s="245"/>
      <c r="BO29" s="245"/>
      <c r="BP29" s="245"/>
      <c r="BQ29" s="245"/>
      <c r="CN29" s="15" t="s">
        <v>322</v>
      </c>
      <c r="CO29" s="92" t="s">
        <v>323</v>
      </c>
      <c r="CP29" s="14" t="s">
        <v>286</v>
      </c>
      <c r="CQ29" s="14" t="s">
        <v>76</v>
      </c>
      <c r="CR29" s="6" t="str">
        <f t="shared" si="0"/>
        <v>SK: Smoke</v>
      </c>
      <c r="CT29" s="3" t="str">
        <f t="shared" si="1"/>
        <v>Wrap</v>
      </c>
      <c r="CU29" s="12" t="s">
        <v>15</v>
      </c>
      <c r="CV29" s="13" t="s">
        <v>337</v>
      </c>
      <c r="CW29" s="129" t="str">
        <f t="shared" si="2"/>
        <v>32: Blue Sparkle</v>
      </c>
      <c r="DA29" s="241" t="s">
        <v>16</v>
      </c>
      <c r="DB29" s="241" t="s">
        <v>76</v>
      </c>
      <c r="DC29" s="135" t="s">
        <v>1080</v>
      </c>
      <c r="DJ29" s="12" t="s">
        <v>15</v>
      </c>
      <c r="DK29" s="12" t="s">
        <v>24</v>
      </c>
      <c r="DL29" s="12" t="s">
        <v>425</v>
      </c>
      <c r="DM29" s="14" t="s">
        <v>394</v>
      </c>
      <c r="DN29" s="129" t="s">
        <v>199</v>
      </c>
      <c r="DR29" s="12" t="s">
        <v>16</v>
      </c>
      <c r="DS29" s="12" t="s">
        <v>24</v>
      </c>
      <c r="DT29" s="12" t="s">
        <v>419</v>
      </c>
      <c r="DU29" s="12" t="s">
        <v>398</v>
      </c>
      <c r="DV29" s="95"/>
      <c r="DX29" s="14" t="s">
        <v>70</v>
      </c>
      <c r="DY29" s="12" t="s">
        <v>179</v>
      </c>
      <c r="DZ29" s="12" t="s">
        <v>474</v>
      </c>
      <c r="EC29" s="14" t="s">
        <v>15</v>
      </c>
      <c r="ED29" s="12" t="s">
        <v>73</v>
      </c>
      <c r="EE29" s="12" t="s">
        <v>125</v>
      </c>
      <c r="EF29" s="129" t="s">
        <v>485</v>
      </c>
      <c r="FC29" s="12" t="s">
        <v>71</v>
      </c>
      <c r="FD29" s="12" t="s">
        <v>24</v>
      </c>
      <c r="FE29" s="129" t="s">
        <v>516</v>
      </c>
      <c r="GN29" s="12"/>
      <c r="GO29" s="14"/>
      <c r="GY29" s="12" t="s">
        <v>148</v>
      </c>
      <c r="GZ29" s="14" t="s">
        <v>16</v>
      </c>
      <c r="HA29" s="12" t="s">
        <v>417</v>
      </c>
      <c r="HB29" s="131" t="str">
        <f t="shared" si="33"/>
        <v>Vibraband w/Ludwig 9.5mm</v>
      </c>
      <c r="HC29" s="12"/>
      <c r="HD29" s="12"/>
      <c r="HK29" s="62" t="s">
        <v>196</v>
      </c>
      <c r="HL29" s="62" t="s">
        <v>572</v>
      </c>
      <c r="HM29" s="129" t="s">
        <v>573</v>
      </c>
      <c r="ID29" s="9" t="s">
        <v>344</v>
      </c>
      <c r="IF29" s="9" t="s">
        <v>118</v>
      </c>
      <c r="IG29" s="110" t="str">
        <f t="shared" si="38"/>
        <v>LF835</v>
      </c>
      <c r="IH29" s="9" t="s">
        <v>689</v>
      </c>
      <c r="II29" s="9" t="s">
        <v>690</v>
      </c>
      <c r="IJ29" s="9" t="s">
        <v>691</v>
      </c>
      <c r="IK29" s="9" t="s">
        <v>692</v>
      </c>
      <c r="IN29" s="9" t="s">
        <v>73</v>
      </c>
      <c r="IO29" s="9" t="s">
        <v>556</v>
      </c>
      <c r="IP29" t="s">
        <v>867</v>
      </c>
      <c r="IQ29" s="33" t="s">
        <v>47</v>
      </c>
      <c r="IU29" t="s">
        <v>24</v>
      </c>
      <c r="IV29" s="12" t="s">
        <v>413</v>
      </c>
      <c r="IW29" t="s">
        <v>26</v>
      </c>
      <c r="IX29" t="s">
        <v>891</v>
      </c>
      <c r="JY29" s="11"/>
      <c r="JZ29" s="220" t="s">
        <v>48</v>
      </c>
      <c r="KA29" s="216" t="str">
        <f>IF(KA6="","",$BB$8)</f>
        <v/>
      </c>
      <c r="KB29" s="216" t="str">
        <f>IF(KB6="","",$BB$9)</f>
        <v/>
      </c>
      <c r="KC29" s="216" t="str">
        <f>IF(KC6="","",$BB$10)</f>
        <v/>
      </c>
      <c r="KD29" s="216" t="str">
        <f>IF(KD6="","",$BB$11)</f>
        <v/>
      </c>
      <c r="KE29" s="216" t="str">
        <f>IF(KE6="","",$BB$12)</f>
        <v/>
      </c>
      <c r="KF29" s="216" t="str">
        <f>IF(KF6="","",$BB$13)</f>
        <v/>
      </c>
      <c r="KG29" s="216" t="str">
        <f>IF(KG6="","",$BB$14)</f>
        <v/>
      </c>
      <c r="KH29" s="216" t="str">
        <f>IF(KH6="","",$BB$15)</f>
        <v/>
      </c>
      <c r="KI29" s="216" t="str">
        <f>IF(KI6="","",$BB$16)</f>
        <v/>
      </c>
      <c r="KJ29" s="216" t="str">
        <f>IF(KJ6="","",$BB$17)</f>
        <v/>
      </c>
      <c r="KK29" s="216" t="str">
        <f>IF(KK6="","",$BB$18)</f>
        <v/>
      </c>
      <c r="KL29" s="216" t="str">
        <f>IF(KL6="","",$BB$19)</f>
        <v/>
      </c>
      <c r="KM29" s="240" t="str">
        <f>IF(KM6="","",$BB$20)</f>
        <v/>
      </c>
    </row>
    <row r="30" spans="1:299" ht="15" thickBot="1" x14ac:dyDescent="0.35">
      <c r="A30" s="210">
        <f>IF(H30="Invalid Selection",1,0)</f>
        <v>0</v>
      </c>
      <c r="B30" s="19"/>
      <c r="C30" s="39"/>
      <c r="D30" s="41" t="s">
        <v>124</v>
      </c>
      <c r="E30" s="9" t="s">
        <v>986</v>
      </c>
      <c r="F30" s="169" t="e">
        <f>IF(AND(AF2="L8",AK27=FALSE),"Change to","No Option")</f>
        <v>#N/A</v>
      </c>
      <c r="G30" s="46"/>
      <c r="H30" s="48" t="str">
        <f>IF($G$30="","",IF(ISERROR(MATCH($G$30,Dtls!BE4,0))=FALSE,"","Invalid Selection"))</f>
        <v/>
      </c>
      <c r="J30" s="30"/>
      <c r="K30" s="30"/>
      <c r="L30" s="30"/>
      <c r="M30" s="23"/>
      <c r="N30" s="69"/>
      <c r="Z30" t="e" cm="1">
        <f t="array" ref="Z30">CONCATENATE(INDEX($CF$3:$CF$23,MATCH($AF$2&amp;"LB",$BT$3:$BT$23&amp;$CC$3:$CC$23,0)),"CUSTOM")</f>
        <v>#N/A</v>
      </c>
      <c r="AA30" t="e">
        <f>INDEX(prd!$BF$5:$BF$40,MATCH(Outfitter!Z30,prd!$BD$5:$BD$40,0))</f>
        <v>#N/A</v>
      </c>
      <c r="AB30" t="e">
        <f>INDEX(prd!$BD$5:$BQ$40,MATCH(Outfitter!$Z30,prd!$BD$5:$BD$40,0),MATCH(Outfitter!$L$1,prd!$BD$5:$BQ$5,0))</f>
        <v>#N/A</v>
      </c>
      <c r="AE30" s="10" t="s">
        <v>1266</v>
      </c>
      <c r="AF30" s="179" t="str">
        <f>INDEX(Dtls!BB4:BB6,MATCH(Outfitter!AG30,Dtls!BC4:BC6,0))</f>
        <v>DH</v>
      </c>
      <c r="AG30" s="4" t="str">
        <f t="shared" si="37"/>
        <v>Double Head</v>
      </c>
      <c r="AI30" t="s">
        <v>970</v>
      </c>
      <c r="BI30" s="245"/>
      <c r="BJ30" s="245"/>
      <c r="BK30" s="245"/>
      <c r="BL30" s="245"/>
      <c r="BM30" s="245"/>
      <c r="BN30" s="245"/>
      <c r="BO30" s="245"/>
      <c r="BP30" s="245"/>
      <c r="BQ30" s="245"/>
      <c r="CN30" s="15" t="s">
        <v>324</v>
      </c>
      <c r="CO30" s="92" t="s">
        <v>325</v>
      </c>
      <c r="CP30" s="14" t="s">
        <v>286</v>
      </c>
      <c r="CQ30" s="14" t="s">
        <v>76</v>
      </c>
      <c r="CR30" s="6" t="str">
        <f t="shared" si="0"/>
        <v>TW: Tennessee Whiskey</v>
      </c>
      <c r="CT30" s="3" t="str">
        <f t="shared" si="1"/>
        <v>Wrap</v>
      </c>
      <c r="CU30" s="12" t="s">
        <v>16</v>
      </c>
      <c r="CV30" s="13" t="s">
        <v>337</v>
      </c>
      <c r="CW30" s="129" t="str">
        <f t="shared" si="2"/>
        <v>32: Blue Sparkle</v>
      </c>
      <c r="DA30" s="241" t="s">
        <v>16</v>
      </c>
      <c r="DB30" s="241" t="s">
        <v>76</v>
      </c>
      <c r="DC30" s="135" t="s">
        <v>1344</v>
      </c>
      <c r="DJ30" s="12" t="s">
        <v>15</v>
      </c>
      <c r="DK30" s="12" t="s">
        <v>24</v>
      </c>
      <c r="DL30" s="12" t="s">
        <v>425</v>
      </c>
      <c r="DM30" s="14" t="s">
        <v>414</v>
      </c>
      <c r="DN30" s="129" t="s">
        <v>1272</v>
      </c>
      <c r="DR30" s="12" t="s">
        <v>18</v>
      </c>
      <c r="DS30" s="12" t="s">
        <v>24</v>
      </c>
      <c r="DT30" s="12" t="s">
        <v>419</v>
      </c>
      <c r="DU30" s="12" t="s">
        <v>398</v>
      </c>
      <c r="DV30" s="95"/>
      <c r="DX30" s="14" t="s">
        <v>70</v>
      </c>
      <c r="DY30" s="12" t="s">
        <v>180</v>
      </c>
      <c r="DZ30" s="12" t="s">
        <v>475</v>
      </c>
      <c r="EC30" s="14" t="s">
        <v>15</v>
      </c>
      <c r="ED30" s="12" t="s">
        <v>73</v>
      </c>
      <c r="EE30" s="12" t="s">
        <v>126</v>
      </c>
      <c r="EF30" s="129" t="s">
        <v>486</v>
      </c>
      <c r="FC30" s="12" t="s">
        <v>71</v>
      </c>
      <c r="FD30" s="12" t="s">
        <v>23</v>
      </c>
      <c r="FE30" s="129" t="s">
        <v>527</v>
      </c>
      <c r="GN30" s="12"/>
      <c r="GO30" s="14"/>
      <c r="GY30" s="12" t="s">
        <v>148</v>
      </c>
      <c r="GZ30" s="14" t="s">
        <v>16</v>
      </c>
      <c r="HA30" s="12" t="s">
        <v>424</v>
      </c>
      <c r="HB30" s="131" t="str">
        <f t="shared" si="33"/>
        <v>Triad Bracket 12mm</v>
      </c>
      <c r="HC30" s="12"/>
      <c r="HD30" s="12"/>
      <c r="HK30" s="62" t="s">
        <v>186</v>
      </c>
      <c r="HL30" s="62" t="s">
        <v>572</v>
      </c>
      <c r="HM30" s="129" t="s">
        <v>573</v>
      </c>
      <c r="ID30" s="9" t="s">
        <v>923</v>
      </c>
      <c r="IF30" s="9" t="s">
        <v>122</v>
      </c>
      <c r="IG30" s="110" t="str">
        <f t="shared" si="38"/>
        <v>LF845</v>
      </c>
      <c r="IH30" s="9" t="s">
        <v>693</v>
      </c>
      <c r="II30" s="9" t="s">
        <v>694</v>
      </c>
      <c r="IJ30" s="9" t="s">
        <v>695</v>
      </c>
      <c r="IK30" s="9" t="s">
        <v>696</v>
      </c>
      <c r="IN30" s="9" t="s">
        <v>73</v>
      </c>
      <c r="IO30" s="9" t="s">
        <v>558</v>
      </c>
      <c r="IP30" t="s">
        <v>119</v>
      </c>
      <c r="IQ30" s="33" t="s">
        <v>868</v>
      </c>
      <c r="IU30" t="s">
        <v>24</v>
      </c>
      <c r="IV30" s="12" t="s">
        <v>425</v>
      </c>
      <c r="IW30" t="s">
        <v>518</v>
      </c>
      <c r="IX30" t="s">
        <v>889</v>
      </c>
      <c r="JY30" s="11"/>
      <c r="JZ30" s="220" t="s">
        <v>942</v>
      </c>
      <c r="KA30" s="216" t="str">
        <f>IF(KA6="","",IF($AF$5="","",$AG$5))</f>
        <v/>
      </c>
      <c r="KB30" s="216" t="str">
        <f t="shared" ref="KB30:KM30" si="39">IF(KB6="","",IF($AF$5="","",$AG$5))</f>
        <v/>
      </c>
      <c r="KC30" s="216" t="str">
        <f t="shared" si="39"/>
        <v/>
      </c>
      <c r="KD30" s="216" t="str">
        <f t="shared" si="39"/>
        <v/>
      </c>
      <c r="KE30" s="216" t="str">
        <f t="shared" si="39"/>
        <v/>
      </c>
      <c r="KF30" s="216" t="str">
        <f t="shared" si="39"/>
        <v/>
      </c>
      <c r="KG30" s="216" t="str">
        <f t="shared" si="39"/>
        <v/>
      </c>
      <c r="KH30" s="216" t="str">
        <f t="shared" si="39"/>
        <v/>
      </c>
      <c r="KI30" s="216" t="str">
        <f t="shared" si="39"/>
        <v/>
      </c>
      <c r="KJ30" s="216" t="str">
        <f t="shared" si="39"/>
        <v/>
      </c>
      <c r="KK30" s="216" t="str">
        <f t="shared" si="39"/>
        <v/>
      </c>
      <c r="KL30" s="216" t="str">
        <f t="shared" si="39"/>
        <v/>
      </c>
      <c r="KM30" s="240" t="str">
        <f t="shared" si="39"/>
        <v/>
      </c>
    </row>
    <row r="31" spans="1:299" ht="24" customHeight="1" thickBot="1" x14ac:dyDescent="0.4">
      <c r="A31" s="210"/>
      <c r="B31" s="20"/>
      <c r="E31" s="56" t="s">
        <v>98</v>
      </c>
      <c r="G31" s="57" t="s">
        <v>99</v>
      </c>
      <c r="J31" s="30"/>
      <c r="K31" s="30"/>
      <c r="L31" s="30"/>
      <c r="M31" s="23"/>
      <c r="N31" s="60"/>
      <c r="AE31" s="10"/>
      <c r="AF31" s="178"/>
      <c r="AI31" t="s">
        <v>971</v>
      </c>
      <c r="CN31" s="15" t="s">
        <v>326</v>
      </c>
      <c r="CO31" s="92" t="s">
        <v>327</v>
      </c>
      <c r="CP31" s="14" t="s">
        <v>286</v>
      </c>
      <c r="CQ31" s="14" t="s">
        <v>76</v>
      </c>
      <c r="CR31" s="6" t="str">
        <f t="shared" si="0"/>
        <v>VB: Vintage Bronze</v>
      </c>
      <c r="CT31" s="3" t="str">
        <f t="shared" si="1"/>
        <v>Wrap</v>
      </c>
      <c r="CU31" s="12" t="s">
        <v>17</v>
      </c>
      <c r="CV31" s="13" t="s">
        <v>337</v>
      </c>
      <c r="CW31" s="129" t="str">
        <f t="shared" si="2"/>
        <v>32: Blue Sparkle</v>
      </c>
      <c r="DA31" s="9" t="s">
        <v>18</v>
      </c>
      <c r="DB31" s="9" t="s">
        <v>177</v>
      </c>
      <c r="DC31" t="s">
        <v>1080</v>
      </c>
      <c r="DJ31" s="12" t="s">
        <v>16</v>
      </c>
      <c r="DK31" s="12" t="s">
        <v>66</v>
      </c>
      <c r="DL31" s="12" t="s">
        <v>413</v>
      </c>
      <c r="DM31" s="14" t="s">
        <v>397</v>
      </c>
      <c r="DN31" s="129" t="s">
        <v>1271</v>
      </c>
      <c r="DR31" s="12" t="s">
        <v>15</v>
      </c>
      <c r="DS31" s="12" t="s">
        <v>24</v>
      </c>
      <c r="DT31" s="12" t="s">
        <v>421</v>
      </c>
      <c r="DU31" s="12" t="s">
        <v>401</v>
      </c>
      <c r="DV31" s="95"/>
      <c r="DX31" s="14" t="s">
        <v>70</v>
      </c>
      <c r="DY31" s="12" t="s">
        <v>181</v>
      </c>
      <c r="DZ31" s="12" t="s">
        <v>476</v>
      </c>
      <c r="EC31" s="14" t="s">
        <v>15</v>
      </c>
      <c r="ED31" s="12" t="s">
        <v>73</v>
      </c>
      <c r="EE31" s="12" t="s">
        <v>128</v>
      </c>
      <c r="EF31" s="129" t="s">
        <v>487</v>
      </c>
      <c r="FC31" s="14" t="s">
        <v>85</v>
      </c>
      <c r="FD31" s="14" t="s">
        <v>22</v>
      </c>
      <c r="FE31" s="129" t="s">
        <v>519</v>
      </c>
      <c r="GN31" s="12"/>
      <c r="GO31" s="14"/>
      <c r="GY31" s="12" t="s">
        <v>148</v>
      </c>
      <c r="GZ31" s="14" t="s">
        <v>16</v>
      </c>
      <c r="HA31" s="12" t="s">
        <v>418</v>
      </c>
      <c r="HB31" s="131" t="str">
        <f t="shared" si="33"/>
        <v>Vibraband w/Triad 12mm</v>
      </c>
      <c r="HC31" s="12"/>
      <c r="HD31" s="12"/>
      <c r="HK31" s="62" t="s">
        <v>189</v>
      </c>
      <c r="HL31" s="62" t="s">
        <v>572</v>
      </c>
      <c r="HM31" s="129" t="s">
        <v>573</v>
      </c>
      <c r="ID31" s="9" t="s">
        <v>922</v>
      </c>
      <c r="IF31" s="9" t="s">
        <v>125</v>
      </c>
      <c r="IG31" s="110" t="str">
        <f t="shared" si="38"/>
        <v>LF836</v>
      </c>
      <c r="IH31" s="9" t="s">
        <v>697</v>
      </c>
      <c r="II31" s="9" t="s">
        <v>698</v>
      </c>
      <c r="IJ31" s="9" t="s">
        <v>699</v>
      </c>
      <c r="IK31" s="9" t="s">
        <v>700</v>
      </c>
      <c r="IN31" s="9" t="s">
        <v>73</v>
      </c>
      <c r="IO31" s="9" t="s">
        <v>425</v>
      </c>
      <c r="IP31" t="s">
        <v>869</v>
      </c>
      <c r="IQ31" s="33" t="s">
        <v>78</v>
      </c>
      <c r="IU31" t="s">
        <v>24</v>
      </c>
      <c r="IV31" s="12" t="s">
        <v>425</v>
      </c>
      <c r="IW31" t="s">
        <v>16</v>
      </c>
      <c r="IX31" t="s">
        <v>890</v>
      </c>
      <c r="JA31" s="12"/>
    </row>
    <row r="32" spans="1:299" x14ac:dyDescent="0.3">
      <c r="A32" s="210">
        <f>IF(H32="Invalid Selection",1,0)</f>
        <v>0</v>
      </c>
      <c r="B32" s="210">
        <f>COUNTIF($B$8:$B$20,"Tom")</f>
        <v>0</v>
      </c>
      <c r="C32" s="47" t="s">
        <v>127</v>
      </c>
      <c r="D32" s="27" t="s">
        <v>107</v>
      </c>
      <c r="E32" s="9" t="s">
        <v>117</v>
      </c>
      <c r="F32" s="169" t="s">
        <v>103</v>
      </c>
      <c r="G32" s="46"/>
      <c r="H32" s="48" t="str">
        <f>IF(AND(G32&lt;&gt;"",Dtls!EB1="No"),"Invalid Selection","")</f>
        <v/>
      </c>
      <c r="J32" s="30"/>
      <c r="K32" s="30"/>
      <c r="L32" s="30"/>
      <c r="M32" s="23"/>
      <c r="N32" s="69"/>
      <c r="Z32" t="e" cm="1">
        <f t="array" ref="Z32">CONCATENATE(INDEX($CF$3:$CF$23,MATCH($AF$2&amp;"LT",$BT$3:$BT$23&amp;$CC$3:$CC$23,0)),"CUSTOM")</f>
        <v>#N/A</v>
      </c>
      <c r="AA32" t="e">
        <f>INDEX(prd!$BF$5:$BF$40,MATCH(Outfitter!Z32,prd!$BD$5:$BD$40,0))</f>
        <v>#N/A</v>
      </c>
      <c r="AB32" t="e">
        <f>INDEX(prd!$BD$5:$BQ$40,MATCH(Outfitter!$Z32,prd!$BD$5:$BD$40,0),MATCH(Outfitter!$L$1,prd!$BD$5:$BQ$5,0))</f>
        <v>#N/A</v>
      </c>
      <c r="AE32" s="10" t="s">
        <v>107</v>
      </c>
      <c r="AF32" s="179" t="str">
        <f>INDEX(Dtls!DT4:DT6,MATCH(Outfitter!AG32,Dtls!DV4:DV6,0))</f>
        <v>N</v>
      </c>
      <c r="AG32" s="4" t="str">
        <f t="shared" si="37"/>
        <v>None</v>
      </c>
      <c r="CN32" s="15" t="s">
        <v>60</v>
      </c>
      <c r="CO32" s="92" t="s">
        <v>328</v>
      </c>
      <c r="CP32" s="14" t="s">
        <v>286</v>
      </c>
      <c r="CQ32" s="14" t="s">
        <v>76</v>
      </c>
      <c r="CR32" s="6" t="str">
        <f t="shared" si="0"/>
        <v>MH: Vintage Mahogany</v>
      </c>
      <c r="CT32" s="3" t="str">
        <f t="shared" si="1"/>
        <v>Wrap</v>
      </c>
      <c r="CU32" s="12" t="s">
        <v>19</v>
      </c>
      <c r="CV32" s="13" t="s">
        <v>337</v>
      </c>
      <c r="CW32" s="129" t="str">
        <f t="shared" si="2"/>
        <v>32: Blue Sparkle</v>
      </c>
      <c r="DA32" s="9" t="s">
        <v>18</v>
      </c>
      <c r="DB32" s="9" t="s">
        <v>177</v>
      </c>
      <c r="DC32" t="s">
        <v>1344</v>
      </c>
      <c r="DJ32" s="12" t="s">
        <v>16</v>
      </c>
      <c r="DK32" s="12" t="s">
        <v>66</v>
      </c>
      <c r="DL32" s="12" t="s">
        <v>413</v>
      </c>
      <c r="DM32" s="14" t="s">
        <v>394</v>
      </c>
      <c r="DN32" s="129" t="s">
        <v>199</v>
      </c>
      <c r="DR32" s="12" t="s">
        <v>16</v>
      </c>
      <c r="DS32" s="12" t="s">
        <v>24</v>
      </c>
      <c r="DT32" s="12" t="s">
        <v>421</v>
      </c>
      <c r="DU32" s="12" t="s">
        <v>398</v>
      </c>
      <c r="DV32" s="95"/>
      <c r="DX32" s="14" t="s">
        <v>70</v>
      </c>
      <c r="DY32" s="12" t="s">
        <v>182</v>
      </c>
      <c r="DZ32" s="12" t="s">
        <v>477</v>
      </c>
      <c r="EC32" s="14" t="s">
        <v>15</v>
      </c>
      <c r="ED32" s="12" t="s">
        <v>73</v>
      </c>
      <c r="EE32" s="12" t="s">
        <v>129</v>
      </c>
      <c r="EF32" s="129" t="s">
        <v>488</v>
      </c>
      <c r="FC32" s="14" t="s">
        <v>85</v>
      </c>
      <c r="FD32" s="14" t="s">
        <v>518</v>
      </c>
      <c r="FE32" s="129" t="s">
        <v>1337</v>
      </c>
      <c r="GN32" s="12"/>
      <c r="GO32" s="14"/>
      <c r="GY32" s="12" t="s">
        <v>148</v>
      </c>
      <c r="GZ32" s="14" t="s">
        <v>22</v>
      </c>
      <c r="HA32" s="12" t="s">
        <v>413</v>
      </c>
      <c r="HB32" s="131" t="str">
        <f t="shared" si="33"/>
        <v>No Mounting Bracket</v>
      </c>
      <c r="HC32" s="12"/>
      <c r="HD32" s="12"/>
      <c r="HK32" s="62" t="s">
        <v>193</v>
      </c>
      <c r="HL32" s="62" t="s">
        <v>572</v>
      </c>
      <c r="HM32" s="129" t="s">
        <v>573</v>
      </c>
      <c r="ID32" s="9" t="s">
        <v>924</v>
      </c>
      <c r="IF32" s="9" t="s">
        <v>126</v>
      </c>
      <c r="IG32" s="110" t="str">
        <f t="shared" si="38"/>
        <v>LF846</v>
      </c>
      <c r="IH32" s="9" t="s">
        <v>701</v>
      </c>
      <c r="II32" s="9" t="s">
        <v>702</v>
      </c>
      <c r="IJ32" s="9" t="s">
        <v>703</v>
      </c>
      <c r="IK32" s="9" t="s">
        <v>704</v>
      </c>
      <c r="IN32" s="9"/>
      <c r="IO32" s="9"/>
      <c r="IQ32" s="33"/>
      <c r="IU32" t="s">
        <v>24</v>
      </c>
      <c r="IV32" s="12" t="s">
        <v>425</v>
      </c>
      <c r="IW32" t="s">
        <v>25</v>
      </c>
      <c r="IX32" t="s">
        <v>892</v>
      </c>
      <c r="JA32" s="12"/>
      <c r="JZ32" s="220"/>
      <c r="KA32" s="217"/>
      <c r="KB32" s="217"/>
      <c r="KC32" s="217"/>
      <c r="KD32" s="217"/>
      <c r="KE32" s="217"/>
      <c r="KF32" s="217"/>
      <c r="KG32" s="217"/>
      <c r="KH32" s="217"/>
      <c r="KI32" s="217"/>
      <c r="KJ32" s="217"/>
      <c r="KK32" s="217"/>
      <c r="KL32" s="217"/>
      <c r="KM32" s="217"/>
    </row>
    <row r="33" spans="1:299" x14ac:dyDescent="0.3">
      <c r="A33" s="210"/>
      <c r="B33" s="45"/>
      <c r="C33" s="28"/>
      <c r="D33" s="21" t="s">
        <v>112</v>
      </c>
      <c r="E33" s="173" t="s">
        <v>1400</v>
      </c>
      <c r="F33" s="169" t="s">
        <v>103</v>
      </c>
      <c r="G33" s="46"/>
      <c r="H33" s="26"/>
      <c r="J33" s="30"/>
      <c r="K33" s="30"/>
      <c r="L33" s="30"/>
      <c r="M33" s="3"/>
      <c r="N33" s="69"/>
      <c r="Z33" t="e" cm="1">
        <f t="array" ref="Z33">CONCATENATE(INDEX($CF$3:$CF$23,MATCH($AF$2&amp;"LT",$BT$3:$BT$23&amp;$CC$3:$CC$23,0)),"CUSTOM")</f>
        <v>#N/A</v>
      </c>
      <c r="AA33" t="e">
        <f>INDEX(prd!$BF$5:$BF$40,MATCH(Outfitter!Z33,prd!$BD$5:$BD$40,0))</f>
        <v>#N/A</v>
      </c>
      <c r="AB33" t="e">
        <f>INDEX(prd!$BD$5:$BQ$40,MATCH(Outfitter!$Z33,prd!$BD$5:$BD$40,0),MATCH(Outfitter!$L$1,prd!$BD$5:$BQ$5,0))</f>
        <v>#N/A</v>
      </c>
      <c r="AE33" s="10" t="s">
        <v>120</v>
      </c>
      <c r="AF33" s="179" t="str">
        <f>INDEX(Dtls!$BJ$3:$BJ$12,MATCH(Outfitter!AG33,Dtls!$BK$3:$BK$12,0))</f>
        <v>BE03</v>
      </c>
      <c r="AG33" s="4" t="str">
        <f t="shared" si="37"/>
        <v>Remo Clear Emp Batter</v>
      </c>
      <c r="CN33" s="15" t="s">
        <v>330</v>
      </c>
      <c r="CO33" s="92" t="s">
        <v>331</v>
      </c>
      <c r="CP33" s="14" t="s">
        <v>332</v>
      </c>
      <c r="CQ33" s="14" t="s">
        <v>43</v>
      </c>
      <c r="CR33" s="6" t="str">
        <f t="shared" si="0"/>
        <v>AO: Aged Onyx</v>
      </c>
      <c r="CT33" s="3" t="str">
        <f t="shared" si="1"/>
        <v>Wrap</v>
      </c>
      <c r="CU33" s="12" t="s">
        <v>15</v>
      </c>
      <c r="CV33" s="13" t="s">
        <v>283</v>
      </c>
      <c r="CW33" s="129" t="str">
        <f t="shared" si="2"/>
        <v>S2: Blue Super Sparkle</v>
      </c>
      <c r="DA33" s="9" t="s">
        <v>19</v>
      </c>
      <c r="DB33" s="9" t="s">
        <v>43</v>
      </c>
      <c r="DC33" s="225" t="s">
        <v>1345</v>
      </c>
      <c r="DJ33" s="12" t="s">
        <v>16</v>
      </c>
      <c r="DK33" s="12" t="s">
        <v>66</v>
      </c>
      <c r="DL33" s="12" t="s">
        <v>413</v>
      </c>
      <c r="DM33" s="14" t="s">
        <v>399</v>
      </c>
      <c r="DN33" s="129" t="s">
        <v>1330</v>
      </c>
      <c r="DR33" s="12" t="s">
        <v>18</v>
      </c>
      <c r="DS33" s="12" t="s">
        <v>24</v>
      </c>
      <c r="DT33" s="12" t="s">
        <v>421</v>
      </c>
      <c r="DU33" s="12" t="s">
        <v>398</v>
      </c>
      <c r="DV33" s="95"/>
      <c r="DX33" s="14" t="s">
        <v>70</v>
      </c>
      <c r="DY33" s="12" t="s">
        <v>183</v>
      </c>
      <c r="DZ33" s="12" t="s">
        <v>478</v>
      </c>
      <c r="EC33" s="14" t="s">
        <v>15</v>
      </c>
      <c r="ED33" s="12" t="s">
        <v>73</v>
      </c>
      <c r="EE33" s="12" t="s">
        <v>131</v>
      </c>
      <c r="EF33" s="129" t="s">
        <v>489</v>
      </c>
      <c r="FC33" s="14" t="s">
        <v>85</v>
      </c>
      <c r="FD33" s="14" t="s">
        <v>16</v>
      </c>
      <c r="FE33" s="129" t="s">
        <v>1338</v>
      </c>
      <c r="GN33" s="12"/>
      <c r="GO33" s="14"/>
      <c r="GY33" s="12" t="s">
        <v>148</v>
      </c>
      <c r="GZ33" s="14" t="s">
        <v>22</v>
      </c>
      <c r="HA33" s="12" t="s">
        <v>419</v>
      </c>
      <c r="HB33" s="131" t="str">
        <f t="shared" si="33"/>
        <v>Ludwig Classic 9.5mm</v>
      </c>
      <c r="HC33" s="12"/>
      <c r="HD33" s="12"/>
      <c r="HK33" s="62" t="s">
        <v>198</v>
      </c>
      <c r="HL33" s="62" t="s">
        <v>572</v>
      </c>
      <c r="HM33" s="129" t="s">
        <v>573</v>
      </c>
      <c r="ID33" s="9" t="s">
        <v>1296</v>
      </c>
      <c r="IF33" s="9" t="s">
        <v>128</v>
      </c>
      <c r="IG33" s="110" t="str">
        <f t="shared" si="38"/>
        <v>LF856</v>
      </c>
      <c r="IH33" s="9" t="s">
        <v>705</v>
      </c>
      <c r="II33" s="9" t="s">
        <v>706</v>
      </c>
      <c r="IJ33" s="9" t="s">
        <v>707</v>
      </c>
      <c r="IK33" s="9" t="s">
        <v>708</v>
      </c>
      <c r="IQ33" s="33"/>
      <c r="IU33" t="s">
        <v>24</v>
      </c>
      <c r="IV33" s="12" t="s">
        <v>425</v>
      </c>
      <c r="IW33" t="s">
        <v>26</v>
      </c>
      <c r="IX33" t="s">
        <v>891</v>
      </c>
      <c r="JA33" s="12"/>
    </row>
    <row r="34" spans="1:299" x14ac:dyDescent="0.3">
      <c r="A34" s="20">
        <f>IF(AND(G36="Single Head",G34&lt;&gt;""),1,0)</f>
        <v>0</v>
      </c>
      <c r="B34" s="20"/>
      <c r="C34" s="28"/>
      <c r="D34" s="21" t="s">
        <v>130</v>
      </c>
      <c r="E34" s="12" t="s">
        <v>1416</v>
      </c>
      <c r="F34" s="169" t="s">
        <v>103</v>
      </c>
      <c r="G34" s="46"/>
      <c r="H34" s="48" t="str">
        <f>IF(A34=1,"Invalid Selection","")</f>
        <v/>
      </c>
      <c r="J34" s="30"/>
      <c r="K34" s="30"/>
      <c r="L34" s="30"/>
      <c r="M34" s="3"/>
      <c r="N34" s="69"/>
      <c r="Z34" t="e" cm="1">
        <f t="array" ref="Z34">CONCATENATE(INDEX($CF$3:$CF$23,MATCH($AF$2&amp;"LT",$BT$3:$BT$23&amp;$CC$3:$CC$23,0)),"CUSTOM")</f>
        <v>#N/A</v>
      </c>
      <c r="AA34" t="e">
        <f>INDEX(prd!$BF$5:$BF$40,MATCH(Outfitter!Z34,prd!$BD$5:$BD$40,0))</f>
        <v>#N/A</v>
      </c>
      <c r="AB34" t="e">
        <f>INDEX(prd!$BD$5:$BQ$40,MATCH(Outfitter!$Z34,prd!$BD$5:$BD$40,0),MATCH(Outfitter!$L$1,prd!$BD$5:$BQ$5,0))</f>
        <v>#N/A</v>
      </c>
      <c r="AE34" s="10" t="s">
        <v>123</v>
      </c>
      <c r="AF34" s="179" t="str">
        <f>INDEX(Dtls!$BY$3:$BY$12,MATCH(Outfitter!AG34,Dtls!$BZ$3:$BZ$12,0))</f>
        <v>BA03</v>
      </c>
      <c r="AG34" s="4" t="str">
        <f t="shared" si="37"/>
        <v>Remo Clear Amb Reso</v>
      </c>
      <c r="CN34" s="15" t="s">
        <v>333</v>
      </c>
      <c r="CO34" s="92" t="s">
        <v>334</v>
      </c>
      <c r="CP34" s="14" t="s">
        <v>332</v>
      </c>
      <c r="CQ34" s="14" t="s">
        <v>43</v>
      </c>
      <c r="CR34" s="6" t="str">
        <f t="shared" si="0"/>
        <v>0G: Black Cortex</v>
      </c>
      <c r="CT34" s="3" t="str">
        <f t="shared" si="1"/>
        <v>Wrap</v>
      </c>
      <c r="CU34" s="12" t="s">
        <v>16</v>
      </c>
      <c r="CV34" s="13" t="s">
        <v>283</v>
      </c>
      <c r="CW34" s="129" t="str">
        <f t="shared" si="2"/>
        <v>S2: Blue Super Sparkle</v>
      </c>
      <c r="DA34" s="9" t="s">
        <v>19</v>
      </c>
      <c r="DB34" s="9" t="s">
        <v>76</v>
      </c>
      <c r="DJ34" s="12" t="s">
        <v>16</v>
      </c>
      <c r="DK34" s="12" t="s">
        <v>73</v>
      </c>
      <c r="DL34" s="12" t="s">
        <v>413</v>
      </c>
      <c r="DM34" s="14" t="s">
        <v>397</v>
      </c>
      <c r="DN34" s="129" t="s">
        <v>1271</v>
      </c>
      <c r="DR34" s="12" t="s">
        <v>15</v>
      </c>
      <c r="DS34" s="12" t="s">
        <v>24</v>
      </c>
      <c r="DT34" s="12" t="s">
        <v>422</v>
      </c>
      <c r="DU34" s="12" t="s">
        <v>401</v>
      </c>
      <c r="DV34" s="95"/>
      <c r="DX34" s="14" t="s">
        <v>70</v>
      </c>
      <c r="DY34" s="12" t="s">
        <v>184</v>
      </c>
      <c r="DZ34" s="12" t="s">
        <v>479</v>
      </c>
      <c r="EC34" s="14" t="s">
        <v>15</v>
      </c>
      <c r="ED34" s="12" t="s">
        <v>52</v>
      </c>
      <c r="EE34" s="12" t="s">
        <v>186</v>
      </c>
      <c r="EF34" s="129" t="s">
        <v>65</v>
      </c>
      <c r="FC34" s="12" t="s">
        <v>85</v>
      </c>
      <c r="FD34" s="12" t="s">
        <v>24</v>
      </c>
      <c r="FE34" s="129" t="s">
        <v>516</v>
      </c>
      <c r="GY34" s="12" t="s">
        <v>148</v>
      </c>
      <c r="GZ34" s="14" t="s">
        <v>22</v>
      </c>
      <c r="HA34" s="12" t="s">
        <v>417</v>
      </c>
      <c r="HB34" s="131" t="str">
        <f t="shared" si="33"/>
        <v>Vibraband w/Ludwig 9.5mm</v>
      </c>
      <c r="HC34" s="12"/>
      <c r="HD34" s="12"/>
      <c r="HK34" s="62" t="s">
        <v>194</v>
      </c>
      <c r="HL34" s="62" t="s">
        <v>572</v>
      </c>
      <c r="HM34" s="129" t="s">
        <v>573</v>
      </c>
      <c r="ID34" s="9" t="s">
        <v>926</v>
      </c>
      <c r="IF34" s="9" t="s">
        <v>129</v>
      </c>
      <c r="IG34" s="110" t="str">
        <f t="shared" si="38"/>
        <v>LF866</v>
      </c>
      <c r="IH34" s="9" t="s">
        <v>709</v>
      </c>
      <c r="II34" s="9" t="s">
        <v>710</v>
      </c>
      <c r="IJ34" s="9" t="s">
        <v>711</v>
      </c>
      <c r="IK34" s="9" t="s">
        <v>712</v>
      </c>
      <c r="IN34" s="9" t="s">
        <v>20</v>
      </c>
      <c r="IO34" s="9" t="s">
        <v>876</v>
      </c>
      <c r="IP34" s="9" t="s">
        <v>5</v>
      </c>
      <c r="IQ34" s="110" t="s">
        <v>877</v>
      </c>
      <c r="IR34" s="9" t="s">
        <v>28</v>
      </c>
      <c r="IT34" s="9"/>
      <c r="IU34" t="s">
        <v>24</v>
      </c>
      <c r="IV34" s="12" t="s">
        <v>419</v>
      </c>
      <c r="IW34" t="s">
        <v>518</v>
      </c>
      <c r="IX34" t="s">
        <v>889</v>
      </c>
      <c r="JA34" s="12"/>
      <c r="KA34" s="210">
        <f>IF(AND(SUM(KA5:$KM$5)=0,KA6=""),0,1)</f>
        <v>0</v>
      </c>
      <c r="KB34" s="210">
        <f>IF(AND(SUM(KB5:$KM$5)=0,KB6=""),0,1)</f>
        <v>0</v>
      </c>
      <c r="KC34" s="210">
        <f>IF(AND(SUM(KC5:$KM$5)=0,KC6=""),0,1)</f>
        <v>0</v>
      </c>
      <c r="KD34" s="210">
        <f>IF(AND(SUM(KD5:$KM$5)=0,KD6=""),0,1)</f>
        <v>0</v>
      </c>
      <c r="KE34" s="210">
        <f>IF(AND(SUM(KE5:$KM$5)=0,KE6=""),0,1)</f>
        <v>0</v>
      </c>
      <c r="KF34" s="210">
        <f>IF(AND(SUM(KF5:$KM$5)=0,KF6=""),0,1)</f>
        <v>0</v>
      </c>
      <c r="KG34" s="210">
        <f>IF(AND(SUM(KG5:$KM$5)=0,KG6=""),0,1)</f>
        <v>0</v>
      </c>
      <c r="KH34" s="210">
        <f>IF(AND(SUM(KH5:$KM$5)=0,KH6=""),0,1)</f>
        <v>0</v>
      </c>
      <c r="KI34" s="210">
        <f>IF(AND(SUM(KI5:$KM$5)=0,KI6=""),0,1)</f>
        <v>0</v>
      </c>
      <c r="KJ34" s="210">
        <f>IF(AND(SUM(KJ5:$KM$5)=0,KJ6=""),0,1)</f>
        <v>0</v>
      </c>
      <c r="KK34" s="210">
        <f>IF(AND(SUM(KK5:$KM$5)=0,KK6=""),0,1)</f>
        <v>0</v>
      </c>
      <c r="KL34" s="210">
        <f>IF(AND(SUM(KL5:$KM$5)=0,KL6=""),0,1)</f>
        <v>0</v>
      </c>
      <c r="KM34" s="210">
        <f>IF(AND(SUM(KM5:$KM$5)=0,KM6=""),0,1)</f>
        <v>0</v>
      </c>
    </row>
    <row r="35" spans="1:299" x14ac:dyDescent="0.3">
      <c r="A35" s="210">
        <f>IF(H35="Invalid Selection",1,0)</f>
        <v>0</v>
      </c>
      <c r="B35" s="20"/>
      <c r="C35" s="28"/>
      <c r="D35" s="21" t="s">
        <v>121</v>
      </c>
      <c r="E35" s="9" t="str">
        <f>IFERROR(INDEX(Dtls!DF3:DF8,MATCH(Outfitter!AF2,Dtls!DD3:DD8,0)),"Shell Dependent")</f>
        <v>Shell Dependent</v>
      </c>
      <c r="F35" s="169" t="e">
        <f>IF($AF$2&lt;&gt;"L8","No Option","Change to")</f>
        <v>#N/A</v>
      </c>
      <c r="G35" s="46"/>
      <c r="H35" s="48" t="str">
        <f>IF($G$35="","",IF(ISERROR(MATCH($G$35,Dtls!DM4:DM7,0))=FALSE,"","Invalid Selection"))</f>
        <v/>
      </c>
      <c r="J35" s="30"/>
      <c r="K35" s="30"/>
      <c r="L35" s="30"/>
      <c r="M35" s="3"/>
      <c r="N35" s="69"/>
      <c r="Z35" t="e" cm="1">
        <f t="array" ref="Z35">CONCATENATE(INDEX($CF$3:$CF$23,MATCH($AF$2&amp;"LT",$BT$3:$BT$23&amp;$CC$3:$CC$23,0)),"CUSTOM")</f>
        <v>#N/A</v>
      </c>
      <c r="AA35" t="e">
        <f>INDEX(prd!$BF$5:$BF$40,MATCH(Outfitter!Z35,prd!$BD$5:$BD$40,0))</f>
        <v>#N/A</v>
      </c>
      <c r="AB35" t="e">
        <f>INDEX(prd!$BD$5:$BQ$40,MATCH(Outfitter!$Z35,prd!$BD$5:$BD$40,0),MATCH(Outfitter!$L$1,prd!$BD$5:$BQ$5,0))</f>
        <v>#N/A</v>
      </c>
      <c r="AE35" s="10" t="s">
        <v>1265</v>
      </c>
      <c r="AF35" s="179" t="e">
        <f>INDEX(Dtls!$CZ$3:$CZ$7,MATCH(Outfitter!AG35,Dtls!$DA$3:$DA$7,0))</f>
        <v>#N/A</v>
      </c>
      <c r="AG35" s="4" t="str">
        <f t="shared" si="37"/>
        <v>Shell Dependent</v>
      </c>
      <c r="CN35" s="15" t="s">
        <v>931</v>
      </c>
      <c r="CO35" s="92" t="s">
        <v>936</v>
      </c>
      <c r="CP35" s="14" t="s">
        <v>332</v>
      </c>
      <c r="CQ35" s="14" t="s">
        <v>43</v>
      </c>
      <c r="CR35" s="6" t="str">
        <f t="shared" si="0"/>
        <v>0Q: Black Oyster Pearl</v>
      </c>
      <c r="CT35" s="3" t="str">
        <f t="shared" si="1"/>
        <v>Wrap</v>
      </c>
      <c r="CU35" s="12" t="s">
        <v>17</v>
      </c>
      <c r="CV35" s="13" t="s">
        <v>283</v>
      </c>
      <c r="CW35" s="129" t="str">
        <f t="shared" si="2"/>
        <v>S2: Blue Super Sparkle</v>
      </c>
      <c r="DJ35" s="12" t="s">
        <v>16</v>
      </c>
      <c r="DK35" s="12" t="s">
        <v>73</v>
      </c>
      <c r="DL35" s="12" t="s">
        <v>413</v>
      </c>
      <c r="DM35" s="14" t="s">
        <v>394</v>
      </c>
      <c r="DN35" s="129" t="s">
        <v>199</v>
      </c>
      <c r="DR35" s="12" t="s">
        <v>16</v>
      </c>
      <c r="DS35" s="12" t="s">
        <v>24</v>
      </c>
      <c r="DT35" s="12" t="s">
        <v>422</v>
      </c>
      <c r="DU35" s="12" t="s">
        <v>398</v>
      </c>
      <c r="DV35" s="95"/>
      <c r="DX35" s="14" t="s">
        <v>70</v>
      </c>
      <c r="DY35" s="12" t="s">
        <v>205</v>
      </c>
      <c r="DZ35" s="12" t="s">
        <v>438</v>
      </c>
      <c r="EC35" s="14" t="s">
        <v>15</v>
      </c>
      <c r="ED35" s="12" t="s">
        <v>52</v>
      </c>
      <c r="EE35" s="12" t="s">
        <v>187</v>
      </c>
      <c r="EF35" s="129" t="s">
        <v>69</v>
      </c>
      <c r="FC35" s="12" t="s">
        <v>85</v>
      </c>
      <c r="FD35" s="12" t="s">
        <v>23</v>
      </c>
      <c r="FE35" s="129" t="s">
        <v>527</v>
      </c>
      <c r="GY35" s="12" t="s">
        <v>148</v>
      </c>
      <c r="GZ35" s="14" t="s">
        <v>22</v>
      </c>
      <c r="HA35" s="12" t="s">
        <v>424</v>
      </c>
      <c r="HB35" s="131" t="str">
        <f t="shared" si="33"/>
        <v>Triad Bracket 12mm</v>
      </c>
      <c r="HC35" s="12"/>
      <c r="HD35" s="12"/>
      <c r="HK35" s="62" t="s">
        <v>203</v>
      </c>
      <c r="HL35" s="62" t="s">
        <v>572</v>
      </c>
      <c r="HM35" s="129" t="s">
        <v>573</v>
      </c>
      <c r="ID35" s="9" t="s">
        <v>927</v>
      </c>
      <c r="IF35" s="9" t="s">
        <v>131</v>
      </c>
      <c r="IG35" s="110" t="str">
        <f t="shared" si="38"/>
        <v>LF868</v>
      </c>
      <c r="IH35" s="9" t="s">
        <v>713</v>
      </c>
      <c r="II35" s="9" t="s">
        <v>714</v>
      </c>
      <c r="IJ35" s="9" t="s">
        <v>715</v>
      </c>
      <c r="IK35" s="9" t="s">
        <v>716</v>
      </c>
      <c r="IN35" s="9" t="s">
        <v>52</v>
      </c>
      <c r="IO35" s="9" t="s">
        <v>570</v>
      </c>
      <c r="IP35" s="14" t="s">
        <v>26</v>
      </c>
      <c r="IQ35" s="108" t="s">
        <v>878</v>
      </c>
      <c r="IR35" s="108" t="s">
        <v>47</v>
      </c>
      <c r="IU35" t="s">
        <v>24</v>
      </c>
      <c r="IV35" s="12" t="s">
        <v>419</v>
      </c>
      <c r="IW35" t="s">
        <v>16</v>
      </c>
      <c r="IX35" t="s">
        <v>890</v>
      </c>
      <c r="KA35" s="210"/>
      <c r="KB35" s="210"/>
      <c r="KC35" s="210"/>
      <c r="KD35" s="210"/>
      <c r="KE35" s="210"/>
      <c r="KF35" s="210"/>
      <c r="KG35" s="210"/>
      <c r="KH35" s="210"/>
      <c r="KI35" s="210"/>
      <c r="KJ35" s="210"/>
      <c r="KK35" s="210"/>
      <c r="KL35" s="210"/>
      <c r="KM35" s="210"/>
    </row>
    <row r="36" spans="1:299" ht="15" thickBot="1" x14ac:dyDescent="0.35">
      <c r="A36" s="210"/>
      <c r="B36" s="19"/>
      <c r="C36" s="29"/>
      <c r="D36" s="41" t="s">
        <v>124</v>
      </c>
      <c r="E36" s="9" t="str">
        <f>IF(AND(AK36="Yes",AM36 = "No"),"Single Head", "Double Head")</f>
        <v>Double Head</v>
      </c>
      <c r="F36" s="169" t="e">
        <f>IF(Dtls!BG1="No","No Option","Change to")</f>
        <v>#N/A</v>
      </c>
      <c r="G36" s="46"/>
      <c r="H36" s="1" t="str">
        <f>IF(AND(AK36="Yes",AM36="Yes",AF36="DH"),"6in deep toms can ONLY be single head.","")</f>
        <v/>
      </c>
      <c r="J36" s="48"/>
      <c r="K36" s="30"/>
      <c r="L36" s="30"/>
      <c r="M36" s="48"/>
      <c r="N36" s="69"/>
      <c r="Z36" t="e" cm="1">
        <f t="array" ref="Z36">CONCATENATE(INDEX($CF$3:$CF$23,MATCH($AF$2&amp;"LT",$BT$3:$BT$23&amp;$CC$3:$CC$23,0)),"CUSTOM")</f>
        <v>#N/A</v>
      </c>
      <c r="AA36" t="e">
        <f>INDEX(prd!$BF$5:$BF$40,MATCH(Outfitter!Z36,prd!$BD$5:$BD$40,0))</f>
        <v>#N/A</v>
      </c>
      <c r="AB36" t="e">
        <f>INDEX(prd!$BD$5:$BQ$40,MATCH(Outfitter!$Z36,prd!$BD$5:$BD$40,0),MATCH(Outfitter!$L$1,prd!$BD$5:$BQ$5,0))</f>
        <v>#N/A</v>
      </c>
      <c r="AE36" s="10" t="s">
        <v>1266</v>
      </c>
      <c r="AF36" s="179" t="str">
        <f>INDEX(Dtls!BB16:BB18,MATCH(Outfitter!AG36,Dtls!BC16:BC18,0))</f>
        <v>DH</v>
      </c>
      <c r="AG36" s="4" t="str">
        <f t="shared" si="37"/>
        <v>Double Head</v>
      </c>
      <c r="AJ36" s="174" t="s">
        <v>1130</v>
      </c>
      <c r="AK36" s="175" t="str">
        <f>IF(OR(ISERROR(MATCH("6_6T",AI8:AI20,0))=FALSE,ISERROR(MATCH("6_8T",AI8:AI20,0))=FALSE),"Yes","No")</f>
        <v>No</v>
      </c>
      <c r="AL36" s="177" t="s">
        <v>1129</v>
      </c>
      <c r="AM36" s="177" t="str">
        <f>IF(SUM(BF8:BF20)&gt;0,"Yes","No")</f>
        <v>No</v>
      </c>
      <c r="AN36" t="s">
        <v>1131</v>
      </c>
      <c r="CN36" s="15" t="s">
        <v>335</v>
      </c>
      <c r="CO36" s="92" t="s">
        <v>336</v>
      </c>
      <c r="CP36" s="14" t="s">
        <v>332</v>
      </c>
      <c r="CQ36" s="14" t="s">
        <v>43</v>
      </c>
      <c r="CR36" s="6" t="str">
        <f t="shared" ref="CR36:CR66" si="40">CONCATENATE(CN36,": ",CO36)</f>
        <v>2P: Blue Olive Oyster</v>
      </c>
      <c r="CT36" s="3" t="str">
        <f t="shared" ref="CT36:CT67" si="41">VLOOKUP(CV36,CN$4:CQ$68,3,FALSE)</f>
        <v>Wrap</v>
      </c>
      <c r="CU36" s="12" t="s">
        <v>19</v>
      </c>
      <c r="CV36" s="13" t="s">
        <v>283</v>
      </c>
      <c r="CW36" s="129" t="str">
        <f t="shared" ref="CW36:CW67" si="42">VLOOKUP(CV36,$CN$4:$CR$68,5,FALSE)</f>
        <v>S2: Blue Super Sparkle</v>
      </c>
      <c r="DJ36" s="12" t="s">
        <v>16</v>
      </c>
      <c r="DK36" s="12" t="s">
        <v>73</v>
      </c>
      <c r="DL36" s="12" t="s">
        <v>413</v>
      </c>
      <c r="DM36" s="14" t="s">
        <v>399</v>
      </c>
      <c r="DN36" s="129" t="s">
        <v>1330</v>
      </c>
      <c r="DR36" s="12" t="s">
        <v>18</v>
      </c>
      <c r="DS36" s="12" t="s">
        <v>24</v>
      </c>
      <c r="DT36" s="12" t="s">
        <v>422</v>
      </c>
      <c r="DU36" s="12" t="s">
        <v>398</v>
      </c>
      <c r="DV36" s="95"/>
      <c r="DX36" s="14" t="s">
        <v>56</v>
      </c>
      <c r="DY36" s="12" t="s">
        <v>110</v>
      </c>
      <c r="DZ36" s="12" t="s">
        <v>480</v>
      </c>
      <c r="EC36" s="14" t="s">
        <v>15</v>
      </c>
      <c r="ED36" s="12" t="s">
        <v>52</v>
      </c>
      <c r="EE36" s="12" t="s">
        <v>189</v>
      </c>
      <c r="EF36" s="129" t="s">
        <v>72</v>
      </c>
      <c r="FC36" s="14" t="s">
        <v>100</v>
      </c>
      <c r="FD36" s="14" t="s">
        <v>22</v>
      </c>
      <c r="FE36" s="129" t="s">
        <v>519</v>
      </c>
      <c r="GY36" s="12" t="s">
        <v>148</v>
      </c>
      <c r="GZ36" s="14" t="s">
        <v>22</v>
      </c>
      <c r="HA36" s="12" t="s">
        <v>418</v>
      </c>
      <c r="HB36" s="131" t="str">
        <f t="shared" si="33"/>
        <v>Vibraband w/Triad 12mm</v>
      </c>
      <c r="HC36" s="12"/>
      <c r="HD36" s="12"/>
      <c r="HK36" s="62" t="s">
        <v>192</v>
      </c>
      <c r="HL36" s="62" t="s">
        <v>572</v>
      </c>
      <c r="HM36" s="129" t="s">
        <v>573</v>
      </c>
      <c r="ID36" s="9"/>
      <c r="IF36" s="9"/>
      <c r="IG36" s="9"/>
      <c r="IH36" s="9"/>
      <c r="II36" s="9"/>
      <c r="IJ36" s="9"/>
      <c r="IK36" s="9"/>
      <c r="IN36" s="9" t="s">
        <v>52</v>
      </c>
      <c r="IO36" s="9" t="s">
        <v>572</v>
      </c>
      <c r="IP36" s="14" t="s">
        <v>26</v>
      </c>
      <c r="IQ36" s="108" t="s">
        <v>878</v>
      </c>
      <c r="IR36" s="108" t="s">
        <v>47</v>
      </c>
      <c r="IU36" t="s">
        <v>24</v>
      </c>
      <c r="IV36" s="12" t="s">
        <v>419</v>
      </c>
      <c r="IW36" t="s">
        <v>25</v>
      </c>
      <c r="IX36" t="s">
        <v>892</v>
      </c>
      <c r="KA36" s="210">
        <v>8</v>
      </c>
      <c r="KB36" s="210">
        <v>9</v>
      </c>
      <c r="KC36" s="210">
        <v>10</v>
      </c>
      <c r="KD36" s="210">
        <v>11</v>
      </c>
      <c r="KE36" s="210">
        <v>12</v>
      </c>
      <c r="KF36" s="210">
        <v>13</v>
      </c>
      <c r="KG36" s="210">
        <v>14</v>
      </c>
      <c r="KH36" s="210">
        <v>15</v>
      </c>
      <c r="KI36" s="210">
        <v>16</v>
      </c>
      <c r="KJ36" s="210">
        <v>17</v>
      </c>
      <c r="KK36" s="210">
        <v>18</v>
      </c>
      <c r="KL36" s="210">
        <v>19</v>
      </c>
      <c r="KM36" s="210">
        <v>20</v>
      </c>
    </row>
    <row r="37" spans="1:299" ht="24.6" customHeight="1" thickBot="1" x14ac:dyDescent="0.4">
      <c r="A37" s="210"/>
      <c r="B37" s="20"/>
      <c r="E37" s="56" t="s">
        <v>98</v>
      </c>
      <c r="G37" s="57" t="s">
        <v>99</v>
      </c>
      <c r="J37" s="30"/>
      <c r="K37" s="30"/>
      <c r="L37" s="30"/>
      <c r="M37" s="3"/>
      <c r="N37" s="3"/>
      <c r="AF37" s="178"/>
      <c r="AG37" s="4"/>
      <c r="CN37" s="15" t="s">
        <v>337</v>
      </c>
      <c r="CO37" s="92" t="s">
        <v>338</v>
      </c>
      <c r="CP37" s="14" t="s">
        <v>332</v>
      </c>
      <c r="CQ37" s="14" t="s">
        <v>43</v>
      </c>
      <c r="CR37" s="6" t="str">
        <f t="shared" si="40"/>
        <v>32: Blue Sparkle</v>
      </c>
      <c r="CT37" s="3" t="str">
        <f t="shared" si="41"/>
        <v>Sprayed</v>
      </c>
      <c r="CU37" s="12" t="s">
        <v>19</v>
      </c>
      <c r="CV37" s="13" t="s">
        <v>290</v>
      </c>
      <c r="CW37" s="129" t="str">
        <f t="shared" si="42"/>
        <v>K2: Brown Burst</v>
      </c>
      <c r="DJ37" s="12" t="s">
        <v>16</v>
      </c>
      <c r="DK37" s="12" t="s">
        <v>52</v>
      </c>
      <c r="DL37" s="12" t="s">
        <v>413</v>
      </c>
      <c r="DM37" s="14" t="s">
        <v>397</v>
      </c>
      <c r="DN37" s="129" t="s">
        <v>1271</v>
      </c>
      <c r="DR37" s="12" t="s">
        <v>15</v>
      </c>
      <c r="DS37" s="12" t="s">
        <v>24</v>
      </c>
      <c r="DT37" s="12" t="s">
        <v>423</v>
      </c>
      <c r="DU37" s="12" t="s">
        <v>401</v>
      </c>
      <c r="DV37" s="95"/>
      <c r="DX37" s="14" t="s">
        <v>56</v>
      </c>
      <c r="DY37" s="12" t="s">
        <v>113</v>
      </c>
      <c r="DZ37" s="12" t="s">
        <v>481</v>
      </c>
      <c r="EC37" s="12" t="s">
        <v>15</v>
      </c>
      <c r="ED37" s="12" t="s">
        <v>52</v>
      </c>
      <c r="EE37" s="12" t="s">
        <v>190</v>
      </c>
      <c r="EF37" s="129" t="s">
        <v>75</v>
      </c>
      <c r="FC37" s="14" t="s">
        <v>100</v>
      </c>
      <c r="FD37" s="14" t="s">
        <v>518</v>
      </c>
      <c r="FE37" s="129" t="s">
        <v>1337</v>
      </c>
      <c r="GY37" s="12" t="s">
        <v>148</v>
      </c>
      <c r="GZ37" s="14" t="s">
        <v>22</v>
      </c>
      <c r="HA37" s="12" t="s">
        <v>425</v>
      </c>
      <c r="HB37" s="131" t="str">
        <f t="shared" si="33"/>
        <v>Atlas Mount 12mm</v>
      </c>
      <c r="HC37" s="12"/>
      <c r="HD37" s="12"/>
      <c r="HK37" s="62" t="s">
        <v>197</v>
      </c>
      <c r="HL37" s="62" t="s">
        <v>572</v>
      </c>
      <c r="HM37" s="129" t="s">
        <v>573</v>
      </c>
      <c r="ID37" s="9" t="s">
        <v>926</v>
      </c>
      <c r="IF37" s="9" t="s">
        <v>206</v>
      </c>
      <c r="IG37" s="110" t="str">
        <f t="shared" ref="IG37:IG47" si="43">IF($AF$36="SH",CONCATENATE("LTS8",ID37),CONCATENATE("LT8",ID37))</f>
        <v>LT866</v>
      </c>
      <c r="IH37" s="9" t="e">
        <v>#N/A</v>
      </c>
      <c r="II37" s="9" t="e">
        <v>#N/A</v>
      </c>
      <c r="IJ37" s="9" t="e">
        <v>#N/A</v>
      </c>
      <c r="IK37" s="9" t="e">
        <v>#N/A</v>
      </c>
      <c r="IN37" s="9" t="s">
        <v>52</v>
      </c>
      <c r="IO37" s="9" t="s">
        <v>574</v>
      </c>
      <c r="IP37" s="14" t="s">
        <v>185</v>
      </c>
      <c r="IQ37" s="108" t="s">
        <v>878</v>
      </c>
      <c r="IR37" s="108" t="s">
        <v>47</v>
      </c>
      <c r="IU37" t="s">
        <v>24</v>
      </c>
      <c r="IV37" s="12" t="s">
        <v>419</v>
      </c>
      <c r="IW37" t="s">
        <v>26</v>
      </c>
      <c r="IX37" t="s">
        <v>891</v>
      </c>
      <c r="KA37" s="210"/>
      <c r="KB37" s="210"/>
      <c r="KC37" s="210"/>
      <c r="KD37" s="210"/>
      <c r="KE37" s="210"/>
      <c r="KF37" s="210"/>
      <c r="KG37" s="210"/>
      <c r="KH37" s="210"/>
      <c r="KI37" s="210"/>
      <c r="KJ37" s="210"/>
      <c r="KK37" s="210"/>
      <c r="KL37" s="210"/>
      <c r="KM37" s="210"/>
    </row>
    <row r="38" spans="1:299" ht="15" customHeight="1" x14ac:dyDescent="0.3">
      <c r="A38" s="210">
        <f>IF(H38="Invalid Selection",1,0)</f>
        <v>0</v>
      </c>
      <c r="B38" s="226">
        <f>COUNTIF($B$8:$B$20,"Floor")</f>
        <v>0</v>
      </c>
      <c r="C38" s="68" t="s">
        <v>135</v>
      </c>
      <c r="D38" s="27" t="s">
        <v>107</v>
      </c>
      <c r="E38" s="9" t="s">
        <v>117</v>
      </c>
      <c r="F38" s="169" t="s">
        <v>103</v>
      </c>
      <c r="G38" s="46"/>
      <c r="H38" s="7" t="str">
        <f>IF(AND(G38&lt;&gt;"",Dtls!EC1="No"),"Invalid Selection","")</f>
        <v/>
      </c>
      <c r="J38" s="30"/>
      <c r="K38" s="30"/>
      <c r="L38" s="30"/>
      <c r="M38" s="3"/>
      <c r="N38" s="69"/>
      <c r="Z38" t="e" cm="1">
        <f t="array" ref="Z38">CONCATENATE(INDEX($CF$3:$CF$23,MATCH($AF$2&amp;"LF",$BT$3:$BT$23&amp;$CC$3:$CC$23,0)),"CUSTOM")</f>
        <v>#N/A</v>
      </c>
      <c r="AA38" t="e">
        <f>INDEX(prd!$BF$5:$BF$40,MATCH(Outfitter!Z38,prd!$BD$5:$BD$40,0))</f>
        <v>#N/A</v>
      </c>
      <c r="AB38" t="e">
        <f>INDEX(prd!$BD$5:$BQ$40,MATCH(Outfitter!$Z38,prd!$BD$5:$BD$40,0),MATCH(Outfitter!$L$1,prd!$BD$5:$BQ$5,0))</f>
        <v>#N/A</v>
      </c>
      <c r="AE38" s="10" t="s">
        <v>107</v>
      </c>
      <c r="AF38" s="179" t="str">
        <f>INDEX(Dtls!$DT$4:$DT$6,MATCH(Outfitter!AG38,Dtls!$DV$4:$DV$6,0))</f>
        <v>N</v>
      </c>
      <c r="AG38" s="4" t="str">
        <f t="shared" si="37"/>
        <v>None</v>
      </c>
      <c r="CN38" s="15" t="s">
        <v>283</v>
      </c>
      <c r="CO38" s="86" t="s">
        <v>1348</v>
      </c>
      <c r="CP38" s="14" t="s">
        <v>332</v>
      </c>
      <c r="CQ38" s="14" t="s">
        <v>43</v>
      </c>
      <c r="CR38" s="6" t="str">
        <f t="shared" si="40"/>
        <v>S2: Blue Super Sparkle</v>
      </c>
      <c r="CT38" s="3" t="str">
        <f t="shared" si="41"/>
        <v>Exotic IO Veneer</v>
      </c>
      <c r="CU38" s="12" t="s">
        <v>15</v>
      </c>
      <c r="CV38" s="13" t="s">
        <v>275</v>
      </c>
      <c r="CW38" s="129" t="str">
        <f t="shared" si="42"/>
        <v>Z4: I/O Bubinga Gloss</v>
      </c>
      <c r="DJ38" s="12" t="s">
        <v>16</v>
      </c>
      <c r="DK38" s="12" t="s">
        <v>52</v>
      </c>
      <c r="DL38" s="12" t="s">
        <v>413</v>
      </c>
      <c r="DM38" s="14" t="s">
        <v>394</v>
      </c>
      <c r="DN38" s="129" t="s">
        <v>199</v>
      </c>
      <c r="DR38" s="12" t="s">
        <v>16</v>
      </c>
      <c r="DS38" s="12" t="s">
        <v>24</v>
      </c>
      <c r="DT38" s="12" t="s">
        <v>423</v>
      </c>
      <c r="DU38" s="12" t="s">
        <v>398</v>
      </c>
      <c r="DV38" s="95"/>
      <c r="DX38" s="14" t="s">
        <v>56</v>
      </c>
      <c r="DY38" s="12" t="s">
        <v>116</v>
      </c>
      <c r="DZ38" s="12" t="s">
        <v>482</v>
      </c>
      <c r="EC38" s="12" t="s">
        <v>15</v>
      </c>
      <c r="ED38" s="12" t="s">
        <v>52</v>
      </c>
      <c r="EE38" s="12" t="s">
        <v>195</v>
      </c>
      <c r="EF38" s="129" t="s">
        <v>87</v>
      </c>
      <c r="FC38" s="14" t="s">
        <v>100</v>
      </c>
      <c r="FD38" s="14" t="s">
        <v>16</v>
      </c>
      <c r="FE38" s="129" t="s">
        <v>1338</v>
      </c>
      <c r="GY38" s="12" t="s">
        <v>157</v>
      </c>
      <c r="GZ38" s="14" t="s">
        <v>518</v>
      </c>
      <c r="HA38" s="12" t="s">
        <v>413</v>
      </c>
      <c r="HB38" s="131" t="str">
        <f t="shared" si="33"/>
        <v>No Mounting Bracket</v>
      </c>
      <c r="HC38" s="12"/>
      <c r="HD38" s="12"/>
      <c r="HK38" s="33"/>
      <c r="HL38" s="33"/>
      <c r="HM38" s="129"/>
      <c r="ID38" s="9" t="s">
        <v>927</v>
      </c>
      <c r="IF38" s="9" t="s">
        <v>207</v>
      </c>
      <c r="IG38" s="110" t="str">
        <f t="shared" si="43"/>
        <v>LT868</v>
      </c>
      <c r="IH38" s="9" t="e">
        <v>#N/A</v>
      </c>
      <c r="II38" s="9" t="e">
        <v>#N/A</v>
      </c>
      <c r="IJ38" s="9" t="e">
        <v>#N/A</v>
      </c>
      <c r="IK38" s="9" t="e">
        <v>#N/A</v>
      </c>
      <c r="IN38" s="9" t="s">
        <v>52</v>
      </c>
      <c r="IO38" s="9" t="s">
        <v>576</v>
      </c>
      <c r="IP38" s="14" t="s">
        <v>26</v>
      </c>
      <c r="IQ38" s="108" t="s">
        <v>878</v>
      </c>
      <c r="IR38" s="108" t="s">
        <v>47</v>
      </c>
      <c r="IU38" t="s">
        <v>24</v>
      </c>
      <c r="IV38" s="12" t="s">
        <v>424</v>
      </c>
      <c r="IW38" t="s">
        <v>518</v>
      </c>
      <c r="IX38" t="s">
        <v>889</v>
      </c>
      <c r="KA38" s="210"/>
      <c r="KB38" s="210"/>
      <c r="KC38" s="210"/>
      <c r="KD38" s="210"/>
      <c r="KE38" s="210"/>
      <c r="KF38" s="210"/>
      <c r="KG38" s="210"/>
      <c r="KH38" s="210"/>
      <c r="KI38" s="210"/>
      <c r="KJ38" s="210"/>
      <c r="KK38" s="210"/>
      <c r="KL38" s="210"/>
      <c r="KM38" s="210"/>
    </row>
    <row r="39" spans="1:299" x14ac:dyDescent="0.3">
      <c r="A39" s="210"/>
      <c r="B39" s="20"/>
      <c r="C39" s="28"/>
      <c r="D39" s="21" t="s">
        <v>112</v>
      </c>
      <c r="E39" s="173" t="s">
        <v>1400</v>
      </c>
      <c r="F39" s="169" t="s">
        <v>103</v>
      </c>
      <c r="G39" s="46"/>
      <c r="J39" s="30"/>
      <c r="K39" s="30"/>
      <c r="L39" s="30"/>
      <c r="M39" s="3"/>
      <c r="N39" s="69"/>
      <c r="Z39" t="e" cm="1">
        <f t="array" ref="Z39">CONCATENATE(INDEX($CF$3:$CF$23,MATCH($AF$2&amp;"LF",$BT$3:$BT$23&amp;$CC$3:$CC$23,0)),"CUSTOM")</f>
        <v>#N/A</v>
      </c>
      <c r="AA39" t="e">
        <f>INDEX(prd!$BF$5:$BF$40,MATCH(Outfitter!Z39,prd!$BD$5:$BD$40,0))</f>
        <v>#N/A</v>
      </c>
      <c r="AB39" t="e">
        <f>INDEX(prd!$BD$5:$BQ$40,MATCH(Outfitter!$Z39,prd!$BD$5:$BD$40,0),MATCH(Outfitter!$L$1,prd!$BD$5:$BQ$5,0))</f>
        <v>#N/A</v>
      </c>
      <c r="AE39" s="10" t="s">
        <v>120</v>
      </c>
      <c r="AF39" s="179" t="str">
        <f>INDEX(Dtls!$BJ$3:$BJ$12,MATCH(Outfitter!AG39,Dtls!$BK$3:$BK$12,0))</f>
        <v>BE03</v>
      </c>
      <c r="AG39" s="4" t="str">
        <f t="shared" si="37"/>
        <v>Remo Clear Emp Batter</v>
      </c>
      <c r="CN39" s="15" t="s">
        <v>1349</v>
      </c>
      <c r="CO39" s="92" t="s">
        <v>1350</v>
      </c>
      <c r="CP39" s="14" t="s">
        <v>332</v>
      </c>
      <c r="CQ39" s="14" t="s">
        <v>43</v>
      </c>
      <c r="CR39" s="6" t="str">
        <f t="shared" si="40"/>
        <v>A6: Butterscotch Pearl</v>
      </c>
      <c r="CT39" s="3" t="str">
        <f t="shared" si="41"/>
        <v>Exotic Veneer</v>
      </c>
      <c r="CU39" s="12" t="s">
        <v>15</v>
      </c>
      <c r="CV39" s="15" t="s">
        <v>280</v>
      </c>
      <c r="CW39" s="129" t="str">
        <f t="shared" si="42"/>
        <v>B1: Bubinga, Nat/Mahogany Burst</v>
      </c>
      <c r="DJ39" s="12" t="s">
        <v>16</v>
      </c>
      <c r="DK39" s="12" t="s">
        <v>52</v>
      </c>
      <c r="DL39" s="12" t="s">
        <v>413</v>
      </c>
      <c r="DM39" s="14" t="s">
        <v>399</v>
      </c>
      <c r="DN39" s="129" t="s">
        <v>1330</v>
      </c>
      <c r="DR39" s="12" t="s">
        <v>18</v>
      </c>
      <c r="DS39" s="12" t="s">
        <v>24</v>
      </c>
      <c r="DT39" s="12" t="s">
        <v>423</v>
      </c>
      <c r="DU39" s="12" t="s">
        <v>398</v>
      </c>
      <c r="DV39" s="95"/>
      <c r="DX39" s="14" t="s">
        <v>56</v>
      </c>
      <c r="DY39" s="12" t="s">
        <v>118</v>
      </c>
      <c r="DZ39" s="12" t="s">
        <v>483</v>
      </c>
      <c r="EC39" s="14" t="s">
        <v>15</v>
      </c>
      <c r="ED39" s="12" t="s">
        <v>52</v>
      </c>
      <c r="EE39" s="12" t="s">
        <v>191</v>
      </c>
      <c r="EF39" s="129" t="s">
        <v>80</v>
      </c>
      <c r="FC39" s="14" t="s">
        <v>439</v>
      </c>
      <c r="FD39" s="14" t="s">
        <v>22</v>
      </c>
      <c r="FE39" s="129" t="s">
        <v>519</v>
      </c>
      <c r="GY39" s="12" t="s">
        <v>157</v>
      </c>
      <c r="GZ39" s="14" t="s">
        <v>518</v>
      </c>
      <c r="HA39" s="12" t="s">
        <v>419</v>
      </c>
      <c r="HB39" s="131" t="str">
        <f t="shared" si="33"/>
        <v>Ludwig Classic 9.5mm</v>
      </c>
      <c r="HC39" s="12"/>
      <c r="HD39" s="12"/>
      <c r="HK39" s="33"/>
      <c r="HL39" s="33"/>
      <c r="ID39" s="9" t="s">
        <v>1297</v>
      </c>
      <c r="IF39" s="9" t="s">
        <v>132</v>
      </c>
      <c r="IG39" s="110" t="str">
        <f t="shared" si="43"/>
        <v>LT876</v>
      </c>
      <c r="IH39" s="9" t="e">
        <v>#N/A</v>
      </c>
      <c r="II39" s="9" t="e">
        <v>#N/A</v>
      </c>
      <c r="IJ39" s="9" t="e">
        <v>#N/A</v>
      </c>
      <c r="IK39" s="9" t="e">
        <v>#N/A</v>
      </c>
      <c r="IN39" s="9" t="s">
        <v>52</v>
      </c>
      <c r="IO39" s="9" t="s">
        <v>570</v>
      </c>
      <c r="IP39" s="14" t="s">
        <v>27</v>
      </c>
      <c r="IQ39" s="108" t="s">
        <v>878</v>
      </c>
      <c r="IR39" s="108" t="s">
        <v>566</v>
      </c>
      <c r="IU39" t="s">
        <v>24</v>
      </c>
      <c r="IV39" s="12" t="s">
        <v>424</v>
      </c>
      <c r="IW39" t="s">
        <v>16</v>
      </c>
      <c r="IX39" t="s">
        <v>890</v>
      </c>
      <c r="KA39" s="210"/>
      <c r="KB39" s="210"/>
      <c r="KC39" s="210"/>
      <c r="KD39" s="210"/>
      <c r="KE39" s="210"/>
      <c r="KF39" s="210"/>
      <c r="KG39" s="210"/>
      <c r="KH39" s="210"/>
      <c r="KI39" s="210"/>
      <c r="KJ39" s="210"/>
      <c r="KK39" s="210"/>
      <c r="KL39" s="210"/>
      <c r="KM39" s="210"/>
    </row>
    <row r="40" spans="1:299" x14ac:dyDescent="0.3">
      <c r="A40" s="210">
        <f>IF(AND(G42="Single Head",G40&lt;&gt;""),1,0)</f>
        <v>0</v>
      </c>
      <c r="B40" s="20"/>
      <c r="C40" s="28"/>
      <c r="D40" s="21" t="s">
        <v>130</v>
      </c>
      <c r="E40" s="12" t="s">
        <v>1416</v>
      </c>
      <c r="F40" s="169" t="s">
        <v>103</v>
      </c>
      <c r="G40" s="46"/>
      <c r="H40" s="48" t="str">
        <f>IF(A40=1,"Invalid Selection","")</f>
        <v/>
      </c>
      <c r="L40" s="26"/>
      <c r="M40" s="17"/>
      <c r="N40" s="69"/>
      <c r="Z40" t="e" cm="1">
        <f t="array" ref="Z40">CONCATENATE(INDEX($CF$3:$CF$23,MATCH($AF$2&amp;"LF",$BT$3:$BT$23&amp;$CC$3:$CC$23,0)),"CUSTOM")</f>
        <v>#N/A</v>
      </c>
      <c r="AA40" t="e">
        <f>INDEX(prd!$BF$5:$BF$40,MATCH(Outfitter!Z40,prd!$BD$5:$BD$40,0))</f>
        <v>#N/A</v>
      </c>
      <c r="AB40" t="e">
        <f>INDEX(prd!$BD$5:$BQ$40,MATCH(Outfitter!$Z40,prd!$BD$5:$BD$40,0),MATCH(Outfitter!$L$1,prd!$BD$5:$BQ$5,0))</f>
        <v>#N/A</v>
      </c>
      <c r="AE40" s="10" t="s">
        <v>123</v>
      </c>
      <c r="AF40" s="179" t="str">
        <f>INDEX(Dtls!$BY$3:$BY$12,MATCH(Outfitter!AG40,Dtls!$BZ$3:$BZ$12,0))</f>
        <v>BA03</v>
      </c>
      <c r="AG40" s="4" t="str">
        <f t="shared" si="37"/>
        <v>Remo Clear Amb Reso</v>
      </c>
      <c r="CN40" s="15" t="s">
        <v>339</v>
      </c>
      <c r="CO40" s="92" t="s">
        <v>340</v>
      </c>
      <c r="CP40" s="14" t="s">
        <v>332</v>
      </c>
      <c r="CQ40" s="14" t="s">
        <v>43</v>
      </c>
      <c r="CR40" s="6" t="str">
        <f t="shared" si="40"/>
        <v>A3: Citrus Mod</v>
      </c>
      <c r="CT40" s="3" t="str">
        <f t="shared" si="41"/>
        <v>Exotic Veneer</v>
      </c>
      <c r="CU40" s="12" t="s">
        <v>18</v>
      </c>
      <c r="CV40" s="15" t="s">
        <v>280</v>
      </c>
      <c r="CW40" s="129" t="str">
        <f t="shared" si="42"/>
        <v>B1: Bubinga, Nat/Mahogany Burst</v>
      </c>
      <c r="DJ40" s="12" t="s">
        <v>16</v>
      </c>
      <c r="DK40" s="12" t="s">
        <v>24</v>
      </c>
      <c r="DL40" s="12" t="s">
        <v>417</v>
      </c>
      <c r="DM40" s="14" t="s">
        <v>397</v>
      </c>
      <c r="DN40" s="129" t="s">
        <v>1271</v>
      </c>
      <c r="DR40" s="12" t="s">
        <v>15</v>
      </c>
      <c r="DS40" s="12" t="s">
        <v>24</v>
      </c>
      <c r="DT40" s="12" t="s">
        <v>425</v>
      </c>
      <c r="DU40" s="12" t="s">
        <v>399</v>
      </c>
      <c r="DV40" s="95"/>
      <c r="DX40" s="14" t="s">
        <v>56</v>
      </c>
      <c r="DY40" s="12" t="s">
        <v>122</v>
      </c>
      <c r="DZ40" s="12" t="s">
        <v>484</v>
      </c>
      <c r="EC40" s="14" t="s">
        <v>15</v>
      </c>
      <c r="ED40" s="14" t="s">
        <v>52</v>
      </c>
      <c r="EE40" s="14" t="s">
        <v>196</v>
      </c>
      <c r="EF40" s="129" t="s">
        <v>89</v>
      </c>
      <c r="FC40" s="14" t="s">
        <v>439</v>
      </c>
      <c r="FD40" s="14" t="s">
        <v>518</v>
      </c>
      <c r="FE40" s="129" t="s">
        <v>1337</v>
      </c>
      <c r="GY40" s="12" t="s">
        <v>157</v>
      </c>
      <c r="GZ40" s="14" t="s">
        <v>518</v>
      </c>
      <c r="HA40" s="12" t="s">
        <v>417</v>
      </c>
      <c r="HB40" s="131" t="str">
        <f t="shared" si="33"/>
        <v>Vibraband w/Ludwig 9.5mm</v>
      </c>
      <c r="HC40" s="12"/>
      <c r="HD40" s="12"/>
      <c r="HK40" s="33"/>
      <c r="HL40" s="33"/>
      <c r="ID40" s="9" t="s">
        <v>363</v>
      </c>
      <c r="IF40" s="9" t="s">
        <v>133</v>
      </c>
      <c r="IG40" s="110" t="str">
        <f t="shared" si="43"/>
        <v>LT886</v>
      </c>
      <c r="IH40" s="9" t="e">
        <v>#N/A</v>
      </c>
      <c r="II40" s="9" t="e">
        <v>#N/A</v>
      </c>
      <c r="IJ40" s="9" t="e">
        <v>#N/A</v>
      </c>
      <c r="IK40" s="9" t="e">
        <v>#N/A</v>
      </c>
      <c r="IN40" s="9" t="s">
        <v>52</v>
      </c>
      <c r="IO40" s="9" t="s">
        <v>572</v>
      </c>
      <c r="IP40" s="14" t="s">
        <v>27</v>
      </c>
      <c r="IQ40" s="108" t="s">
        <v>878</v>
      </c>
      <c r="IR40" s="108" t="s">
        <v>566</v>
      </c>
      <c r="IU40" t="s">
        <v>24</v>
      </c>
      <c r="IV40" s="12" t="s">
        <v>424</v>
      </c>
      <c r="IW40" t="s">
        <v>25</v>
      </c>
      <c r="IX40" t="s">
        <v>892</v>
      </c>
      <c r="KA40" s="210"/>
      <c r="KB40" s="210"/>
      <c r="KC40" s="210"/>
      <c r="KD40" s="210"/>
      <c r="KE40" s="210"/>
      <c r="KF40" s="210"/>
      <c r="KG40" s="210"/>
      <c r="KH40" s="210"/>
      <c r="KI40" s="210"/>
      <c r="KJ40" s="210"/>
      <c r="KK40" s="210"/>
      <c r="KL40" s="210"/>
      <c r="KM40" s="210"/>
    </row>
    <row r="41" spans="1:299" x14ac:dyDescent="0.3">
      <c r="A41" s="210">
        <f>IF(H41="Invalid Selection",1,0)</f>
        <v>0</v>
      </c>
      <c r="B41" s="20"/>
      <c r="C41" s="28"/>
      <c r="D41" s="21" t="s">
        <v>121</v>
      </c>
      <c r="E41" s="9" t="str">
        <f>IFERROR(INDEX(Dtls!DF3:DF8,MATCH(Outfitter!AF2,Dtls!DD3:DD8,0)),"Shell Dependent")</f>
        <v>Shell Dependent</v>
      </c>
      <c r="F41" s="169" t="e">
        <f>IF($AF$2&lt;&gt;"L8","No Option","Change to")</f>
        <v>#N/A</v>
      </c>
      <c r="G41" s="46"/>
      <c r="H41" s="48" t="str">
        <f>IF($G$41="","",IF(ISERROR(MATCH($G$41,Dtls!DM4:DM7,0))=FALSE,"","Invalid Selection"))</f>
        <v/>
      </c>
      <c r="L41" s="26"/>
      <c r="M41" s="17"/>
      <c r="N41" s="69"/>
      <c r="Z41" t="e" cm="1">
        <f t="array" ref="Z41">CONCATENATE(INDEX($CF$3:$CF$23,MATCH($AF$2&amp;"LF",$BT$3:$BT$23&amp;$CC$3:$CC$23,0)),"CUSTOM")</f>
        <v>#N/A</v>
      </c>
      <c r="AA41" t="e">
        <f>INDEX(prd!$BF$5:$BF$40,MATCH(Outfitter!Z41,prd!$BD$5:$BD$40,0))</f>
        <v>#N/A</v>
      </c>
      <c r="AB41" t="e">
        <f>INDEX(prd!$BD$5:$BQ$40,MATCH(Outfitter!$Z41,prd!$BD$5:$BD$40,0),MATCH(Outfitter!$L$1,prd!$BD$5:$BQ$5,0))</f>
        <v>#N/A</v>
      </c>
      <c r="AE41" s="10" t="s">
        <v>1265</v>
      </c>
      <c r="AF41" s="179" t="e">
        <f>INDEX(Dtls!$CZ$3:$CZ$7,MATCH(Outfitter!AG41,Dtls!$DA$3:$DA$7,0))</f>
        <v>#N/A</v>
      </c>
      <c r="AG41" s="4" t="str">
        <f t="shared" si="37"/>
        <v>Shell Dependent</v>
      </c>
      <c r="CN41" s="15" t="s">
        <v>341</v>
      </c>
      <c r="CO41" s="92" t="s">
        <v>342</v>
      </c>
      <c r="CP41" s="14" t="s">
        <v>332</v>
      </c>
      <c r="CQ41" s="14" t="s">
        <v>43</v>
      </c>
      <c r="CR41" s="6" t="str">
        <f t="shared" si="40"/>
        <v>87: Classic Olive Pearl</v>
      </c>
      <c r="CT41" s="3" t="str">
        <f t="shared" si="41"/>
        <v>Sprayed</v>
      </c>
      <c r="CU41" s="12" t="s">
        <v>15</v>
      </c>
      <c r="CV41" s="15" t="s">
        <v>292</v>
      </c>
      <c r="CW41" s="129" t="str">
        <f t="shared" si="42"/>
        <v>BN: Burnt Natural (burst)</v>
      </c>
      <c r="DJ41" s="12" t="s">
        <v>16</v>
      </c>
      <c r="DK41" s="12" t="s">
        <v>24</v>
      </c>
      <c r="DL41" s="12" t="s">
        <v>417</v>
      </c>
      <c r="DM41" s="14" t="s">
        <v>394</v>
      </c>
      <c r="DN41" s="129" t="s">
        <v>199</v>
      </c>
      <c r="DR41" s="12" t="s">
        <v>16</v>
      </c>
      <c r="DS41" s="12" t="s">
        <v>24</v>
      </c>
      <c r="DT41" s="12" t="s">
        <v>425</v>
      </c>
      <c r="DU41" s="12" t="s">
        <v>397</v>
      </c>
      <c r="DV41" s="95"/>
      <c r="DX41" s="14" t="s">
        <v>56</v>
      </c>
      <c r="DY41" s="12" t="s">
        <v>125</v>
      </c>
      <c r="DZ41" s="12" t="s">
        <v>485</v>
      </c>
      <c r="EC41" s="14" t="s">
        <v>15</v>
      </c>
      <c r="ED41" s="14" t="s">
        <v>52</v>
      </c>
      <c r="EE41" s="14" t="s">
        <v>197</v>
      </c>
      <c r="EF41" s="129" t="s">
        <v>61</v>
      </c>
      <c r="FC41" s="14" t="s">
        <v>439</v>
      </c>
      <c r="FD41" s="14" t="s">
        <v>16</v>
      </c>
      <c r="FE41" s="129" t="s">
        <v>1338</v>
      </c>
      <c r="GY41" s="12" t="s">
        <v>157</v>
      </c>
      <c r="GZ41" s="14" t="s">
        <v>518</v>
      </c>
      <c r="HA41" s="12" t="s">
        <v>424</v>
      </c>
      <c r="HB41" s="131" t="str">
        <f t="shared" si="33"/>
        <v>Triad Bracket 12mm</v>
      </c>
      <c r="HC41" s="12"/>
      <c r="HD41" s="12"/>
      <c r="HK41" s="33"/>
      <c r="HL41" s="33"/>
      <c r="ID41" s="9" t="s">
        <v>1298</v>
      </c>
      <c r="IF41" s="9" t="s">
        <v>134</v>
      </c>
      <c r="IG41" s="110" t="str">
        <f t="shared" si="43"/>
        <v>LT878</v>
      </c>
      <c r="IH41" s="9" t="e">
        <v>#N/A</v>
      </c>
      <c r="II41" s="9" t="e">
        <v>#N/A</v>
      </c>
      <c r="IJ41" s="9" t="e">
        <v>#N/A</v>
      </c>
      <c r="IK41" s="9" t="s">
        <v>717</v>
      </c>
      <c r="IN41" s="9" t="s">
        <v>52</v>
      </c>
      <c r="IO41" s="9" t="s">
        <v>574</v>
      </c>
      <c r="IP41" s="14" t="s">
        <v>27</v>
      </c>
      <c r="IQ41" s="108" t="s">
        <v>878</v>
      </c>
      <c r="IR41" s="108" t="s">
        <v>566</v>
      </c>
      <c r="IU41" t="s">
        <v>24</v>
      </c>
      <c r="IV41" s="12" t="s">
        <v>424</v>
      </c>
      <c r="IW41" t="s">
        <v>26</v>
      </c>
      <c r="IX41" t="s">
        <v>891</v>
      </c>
      <c r="KA41" s="210"/>
      <c r="KB41" s="210"/>
      <c r="KC41" s="210"/>
      <c r="KD41" s="210"/>
      <c r="KE41" s="210"/>
      <c r="KF41" s="210"/>
      <c r="KG41" s="210"/>
      <c r="KH41" s="210"/>
      <c r="KI41" s="210"/>
      <c r="KJ41" s="210"/>
      <c r="KK41" s="210"/>
      <c r="KL41" s="210"/>
      <c r="KM41" s="210"/>
    </row>
    <row r="42" spans="1:299" ht="15" thickBot="1" x14ac:dyDescent="0.35">
      <c r="A42" s="210">
        <f>IF(H42="Invalid Selection",1,0)</f>
        <v>0</v>
      </c>
      <c r="B42" s="19"/>
      <c r="C42" s="29"/>
      <c r="D42" s="41" t="s">
        <v>124</v>
      </c>
      <c r="E42" s="9" t="s">
        <v>986</v>
      </c>
      <c r="F42" s="169" t="e">
        <f>IF(Dtls!BF1="No","No Option","Change to")</f>
        <v>#N/A</v>
      </c>
      <c r="G42" s="46"/>
      <c r="H42" s="48" t="str">
        <f>IF($G$42="","",IF(ISERROR(MATCH($G$42,Dtls!BF4:BF5,0))=FALSE,"","Invalid Selection"))</f>
        <v/>
      </c>
      <c r="J42" s="1"/>
      <c r="L42" s="26"/>
      <c r="M42" s="17"/>
      <c r="N42" s="69"/>
      <c r="Z42" t="e" cm="1">
        <f t="array" ref="Z42">CONCATENATE(INDEX($CF$3:$CF$23,MATCH($AF$2&amp;"LF",$BT$3:$BT$23&amp;$CC$3:$CC$23,0)),"CUSTOM")</f>
        <v>#N/A</v>
      </c>
      <c r="AA42" t="e">
        <f>INDEX(prd!$BF$5:$BF$40,MATCH(Outfitter!Z42,prd!$BD$5:$BD$40,0))</f>
        <v>#N/A</v>
      </c>
      <c r="AB42" t="e">
        <f>INDEX(prd!$BD$5:$BQ$40,MATCH(Outfitter!$Z42,prd!$BD$5:$BD$40,0),MATCH(Outfitter!$L$1,prd!$BD$5:$BQ$5,0))</f>
        <v>#N/A</v>
      </c>
      <c r="AE42" s="10" t="s">
        <v>1266</v>
      </c>
      <c r="AF42" s="179" t="str">
        <f>INDEX(Dtls!BB16:BB18,MATCH(Outfitter!AG42,Dtls!BC16:BC18,0))</f>
        <v>DH</v>
      </c>
      <c r="AG42" s="4" t="str">
        <f t="shared" si="37"/>
        <v>Double Head</v>
      </c>
      <c r="CN42" s="15" t="s">
        <v>344</v>
      </c>
      <c r="CO42" s="92" t="s">
        <v>345</v>
      </c>
      <c r="CP42" s="14" t="s">
        <v>332</v>
      </c>
      <c r="CQ42" s="14" t="s">
        <v>43</v>
      </c>
      <c r="CR42" s="6" t="str">
        <f t="shared" si="40"/>
        <v>35: Customer Supply</v>
      </c>
      <c r="CT42" s="3" t="str">
        <f t="shared" si="41"/>
        <v>Sprayed</v>
      </c>
      <c r="CU42" s="12" t="s">
        <v>16</v>
      </c>
      <c r="CV42" s="15" t="s">
        <v>292</v>
      </c>
      <c r="CW42" s="129" t="str">
        <f t="shared" si="42"/>
        <v>BN: Burnt Natural (burst)</v>
      </c>
      <c r="DJ42" s="12" t="s">
        <v>16</v>
      </c>
      <c r="DK42" s="12" t="s">
        <v>24</v>
      </c>
      <c r="DL42" s="12" t="s">
        <v>417</v>
      </c>
      <c r="DM42" s="14" t="s">
        <v>399</v>
      </c>
      <c r="DN42" s="129" t="s">
        <v>1330</v>
      </c>
      <c r="DR42" s="12" t="s">
        <v>18</v>
      </c>
      <c r="DS42" s="12" t="s">
        <v>24</v>
      </c>
      <c r="DT42" s="12" t="s">
        <v>425</v>
      </c>
      <c r="DU42" s="12" t="s">
        <v>397</v>
      </c>
      <c r="DV42" s="95"/>
      <c r="DX42" s="14" t="s">
        <v>56</v>
      </c>
      <c r="DY42" s="12" t="s">
        <v>126</v>
      </c>
      <c r="DZ42" s="12" t="s">
        <v>486</v>
      </c>
      <c r="EC42" s="14" t="s">
        <v>15</v>
      </c>
      <c r="ED42" s="12" t="s">
        <v>52</v>
      </c>
      <c r="EE42" s="12" t="s">
        <v>193</v>
      </c>
      <c r="EF42" s="129" t="s">
        <v>82</v>
      </c>
      <c r="FC42" s="14" t="s">
        <v>51</v>
      </c>
      <c r="FD42" s="14" t="s">
        <v>22</v>
      </c>
      <c r="FE42" s="129" t="s">
        <v>519</v>
      </c>
      <c r="GY42" s="12" t="s">
        <v>157</v>
      </c>
      <c r="GZ42" s="14" t="s">
        <v>518</v>
      </c>
      <c r="HA42" s="12" t="s">
        <v>418</v>
      </c>
      <c r="HB42" s="131" t="str">
        <f t="shared" si="33"/>
        <v>Vibraband w/Triad 12mm</v>
      </c>
      <c r="HC42" s="12"/>
      <c r="HD42" s="12"/>
      <c r="ID42" s="9" t="s">
        <v>929</v>
      </c>
      <c r="IF42" s="9" t="s">
        <v>136</v>
      </c>
      <c r="IG42" s="110" t="str">
        <f t="shared" si="43"/>
        <v>LT888</v>
      </c>
      <c r="IH42" s="9" t="e">
        <v>#N/A</v>
      </c>
      <c r="II42" s="9" t="e">
        <v>#N/A</v>
      </c>
      <c r="IJ42" s="9" t="e">
        <v>#N/A</v>
      </c>
      <c r="IK42" s="9" t="s">
        <v>718</v>
      </c>
      <c r="IN42" s="9" t="s">
        <v>52</v>
      </c>
      <c r="IO42" s="9" t="s">
        <v>576</v>
      </c>
      <c r="IP42" s="14" t="s">
        <v>27</v>
      </c>
      <c r="IQ42" s="108" t="s">
        <v>878</v>
      </c>
      <c r="IR42" s="108" t="s">
        <v>566</v>
      </c>
      <c r="KA42" s="253"/>
      <c r="KB42" s="210"/>
      <c r="KC42" s="210"/>
      <c r="KD42" s="210"/>
      <c r="KE42" s="210"/>
      <c r="KF42" s="210"/>
      <c r="KG42" s="210"/>
      <c r="KH42" s="210"/>
      <c r="KI42" s="210"/>
      <c r="KJ42" s="210"/>
      <c r="KK42" s="210"/>
      <c r="KL42" s="210"/>
      <c r="KM42" s="210"/>
    </row>
    <row r="43" spans="1:299" ht="23.4" customHeight="1" thickBot="1" x14ac:dyDescent="0.4">
      <c r="A43" s="210"/>
      <c r="B43" s="20"/>
      <c r="D43" s="21"/>
      <c r="E43" s="56" t="s">
        <v>98</v>
      </c>
      <c r="G43" s="57" t="s">
        <v>99</v>
      </c>
      <c r="J43" s="1"/>
      <c r="K43" s="3"/>
      <c r="L43" s="26"/>
      <c r="M43" s="17"/>
      <c r="N43" s="3"/>
      <c r="AG43" s="4"/>
      <c r="CN43" s="15" t="s">
        <v>346</v>
      </c>
      <c r="CO43" s="92" t="s">
        <v>347</v>
      </c>
      <c r="CP43" s="14" t="s">
        <v>332</v>
      </c>
      <c r="CQ43" s="14" t="s">
        <v>43</v>
      </c>
      <c r="CR43" s="6" t="str">
        <f t="shared" si="40"/>
        <v>A5: Digital Blk Sprkl</v>
      </c>
      <c r="CT43" s="3" t="str">
        <f t="shared" si="41"/>
        <v>Wrap</v>
      </c>
      <c r="CU43" s="12" t="s">
        <v>15</v>
      </c>
      <c r="CV43" s="13" t="s">
        <v>1349</v>
      </c>
      <c r="CW43" s="129" t="str">
        <f t="shared" si="42"/>
        <v>A6: Butterscotch Pearl</v>
      </c>
      <c r="DJ43" s="12" t="s">
        <v>16</v>
      </c>
      <c r="DK43" s="12" t="s">
        <v>24</v>
      </c>
      <c r="DL43" s="12" t="s">
        <v>418</v>
      </c>
      <c r="DM43" s="14" t="s">
        <v>397</v>
      </c>
      <c r="DN43" s="129" t="s">
        <v>1271</v>
      </c>
      <c r="DR43" s="12" t="s">
        <v>17</v>
      </c>
      <c r="DS43" s="12" t="s">
        <v>66</v>
      </c>
      <c r="DT43" s="12" t="s">
        <v>413</v>
      </c>
      <c r="DU43" s="12" t="s">
        <v>397</v>
      </c>
      <c r="DV43" s="95"/>
      <c r="DX43" s="14" t="s">
        <v>56</v>
      </c>
      <c r="DY43" s="12" t="s">
        <v>128</v>
      </c>
      <c r="DZ43" s="12" t="s">
        <v>487</v>
      </c>
      <c r="EC43" s="14" t="s">
        <v>15</v>
      </c>
      <c r="ED43" s="14" t="s">
        <v>52</v>
      </c>
      <c r="EE43" s="14" t="s">
        <v>198</v>
      </c>
      <c r="EF43" s="129" t="s">
        <v>91</v>
      </c>
      <c r="FC43" s="14" t="s">
        <v>51</v>
      </c>
      <c r="FD43" s="14" t="s">
        <v>518</v>
      </c>
      <c r="FE43" s="129" t="s">
        <v>1337</v>
      </c>
      <c r="GY43" s="12" t="s">
        <v>157</v>
      </c>
      <c r="GZ43" s="14" t="s">
        <v>518</v>
      </c>
      <c r="HA43" s="12" t="s">
        <v>425</v>
      </c>
      <c r="HB43" s="131" t="str">
        <f t="shared" si="33"/>
        <v>Atlas Mount 12mm</v>
      </c>
      <c r="HC43" s="12"/>
      <c r="HD43" s="12"/>
      <c r="ID43" s="9" t="s">
        <v>1299</v>
      </c>
      <c r="IF43" s="9" t="s">
        <v>137</v>
      </c>
      <c r="IG43" s="110" t="str">
        <f t="shared" si="43"/>
        <v>LT870</v>
      </c>
      <c r="IH43" s="9" t="s">
        <v>719</v>
      </c>
      <c r="II43" s="9" t="s">
        <v>720</v>
      </c>
      <c r="IJ43" s="9" t="s">
        <v>721</v>
      </c>
      <c r="IK43" s="9" t="s">
        <v>722</v>
      </c>
      <c r="IN43" s="9" t="s">
        <v>52</v>
      </c>
      <c r="IO43" s="9" t="s">
        <v>570</v>
      </c>
      <c r="IP43" s="14" t="s">
        <v>25</v>
      </c>
      <c r="IQ43" s="108" t="s">
        <v>878</v>
      </c>
      <c r="IR43" s="108" t="s">
        <v>886</v>
      </c>
      <c r="JZ43" s="236" t="s">
        <v>1333</v>
      </c>
      <c r="KA43" s="210">
        <f t="shared" ref="KA43:KL43" si="44">IF(KA7="Classic Maple",1,0)</f>
        <v>0</v>
      </c>
      <c r="KB43" s="210">
        <f t="shared" si="44"/>
        <v>0</v>
      </c>
      <c r="KC43" s="210">
        <f t="shared" si="44"/>
        <v>0</v>
      </c>
      <c r="KD43" s="210">
        <f t="shared" si="44"/>
        <v>0</v>
      </c>
      <c r="KE43" s="210">
        <f t="shared" si="44"/>
        <v>0</v>
      </c>
      <c r="KF43" s="210">
        <f t="shared" si="44"/>
        <v>0</v>
      </c>
      <c r="KG43" s="210">
        <f t="shared" si="44"/>
        <v>0</v>
      </c>
      <c r="KH43" s="210">
        <f t="shared" si="44"/>
        <v>0</v>
      </c>
      <c r="KI43" s="210">
        <f t="shared" si="44"/>
        <v>0</v>
      </c>
      <c r="KJ43" s="210">
        <f t="shared" si="44"/>
        <v>0</v>
      </c>
      <c r="KK43" s="210">
        <f t="shared" si="44"/>
        <v>0</v>
      </c>
      <c r="KL43" s="210">
        <f t="shared" si="44"/>
        <v>0</v>
      </c>
      <c r="KM43" s="210">
        <f t="shared" ref="KM43" si="45">IF(AND(KM7="Classic Maple",OR(KM8="Bass",KM8="Floor",KM8="Tom")),1,0)</f>
        <v>0</v>
      </c>
    </row>
    <row r="44" spans="1:299" ht="14.4" customHeight="1" x14ac:dyDescent="0.3">
      <c r="A44" s="210"/>
      <c r="B44" s="210">
        <f>COUNTIF($B$8:$B$20,"Snare")</f>
        <v>0</v>
      </c>
      <c r="C44" s="47" t="s">
        <v>142</v>
      </c>
      <c r="D44" s="27" t="s">
        <v>111</v>
      </c>
      <c r="E44" s="9" t="s">
        <v>1147</v>
      </c>
      <c r="F44" s="169" t="s">
        <v>103</v>
      </c>
      <c r="G44" s="192"/>
      <c r="H44" s="26"/>
      <c r="J44" s="1"/>
      <c r="K44" s="26"/>
      <c r="M44" s="17"/>
      <c r="N44" s="69"/>
      <c r="Z44" t="e" cm="1">
        <f t="array" ref="Z44">CONCATENATE(INDEX($CF$3:$CF$23,MATCH($AF$2&amp;"LS",$BT$3:$BT$23&amp;$CC$3:$CC$23,0)),"CUSTOM")</f>
        <v>#N/A</v>
      </c>
      <c r="AA44" t="e">
        <f>INDEX(prd!$BF$5:$BF$40,MATCH(Outfitter!Z44,prd!$BD$5:$BD$40,0))</f>
        <v>#N/A</v>
      </c>
      <c r="AB44" t="e">
        <f>INDEX(prd!$BD$5:$BQ$40,MATCH(Outfitter!$Z44,prd!$BD$5:$BD$40,0),MATCH(Outfitter!$L$1,prd!$BD$5:$BQ$5,0))</f>
        <v>#N/A</v>
      </c>
      <c r="AE44" s="10" t="s">
        <v>111</v>
      </c>
      <c r="AF44" s="179" t="str">
        <f>INDEX(Dtls!EH3:EH6,MATCH(Outfitter!AG44,Dtls!EI3:EI6,0))</f>
        <v>P35</v>
      </c>
      <c r="AG44" s="4" t="str">
        <f t="shared" si="37"/>
        <v>P35 Atlas butt</v>
      </c>
      <c r="CN44" s="146" t="s">
        <v>1884</v>
      </c>
      <c r="CO44" s="143" t="s">
        <v>1885</v>
      </c>
      <c r="CP44" s="40" t="s">
        <v>332</v>
      </c>
      <c r="CQ44" s="40" t="s">
        <v>43</v>
      </c>
      <c r="CR44" s="6" t="str">
        <f t="shared" si="40"/>
        <v>A8: Ebony Pearl</v>
      </c>
      <c r="CT44" s="3" t="str">
        <f t="shared" si="41"/>
        <v>Wrap</v>
      </c>
      <c r="CU44" s="12" t="s">
        <v>16</v>
      </c>
      <c r="CV44" s="13" t="s">
        <v>1349</v>
      </c>
      <c r="CW44" s="129" t="str">
        <f t="shared" si="42"/>
        <v>A6: Butterscotch Pearl</v>
      </c>
      <c r="DJ44" s="12" t="s">
        <v>16</v>
      </c>
      <c r="DK44" s="12" t="s">
        <v>24</v>
      </c>
      <c r="DL44" s="12" t="s">
        <v>418</v>
      </c>
      <c r="DM44" s="14" t="s">
        <v>394</v>
      </c>
      <c r="DN44" s="129" t="s">
        <v>199</v>
      </c>
      <c r="DR44" s="12" t="s">
        <v>17</v>
      </c>
      <c r="DS44" s="12" t="s">
        <v>73</v>
      </c>
      <c r="DT44" s="12" t="s">
        <v>413</v>
      </c>
      <c r="DU44" s="12" t="s">
        <v>397</v>
      </c>
      <c r="DV44" s="95"/>
      <c r="DX44" s="14" t="s">
        <v>56</v>
      </c>
      <c r="DY44" s="12" t="s">
        <v>129</v>
      </c>
      <c r="DZ44" s="12" t="s">
        <v>488</v>
      </c>
      <c r="EC44" s="14" t="s">
        <v>15</v>
      </c>
      <c r="ED44" s="12" t="s">
        <v>52</v>
      </c>
      <c r="EE44" s="12" t="s">
        <v>194</v>
      </c>
      <c r="EF44" s="129" t="s">
        <v>84</v>
      </c>
      <c r="FC44" s="14" t="s">
        <v>51</v>
      </c>
      <c r="FD44" s="14" t="s">
        <v>16</v>
      </c>
      <c r="FE44" s="129" t="s">
        <v>1338</v>
      </c>
      <c r="GY44" s="12" t="s">
        <v>157</v>
      </c>
      <c r="GZ44" s="14" t="s">
        <v>16</v>
      </c>
      <c r="HA44" s="12" t="s">
        <v>413</v>
      </c>
      <c r="HB44" s="131" t="str">
        <f t="shared" si="33"/>
        <v>No Mounting Bracket</v>
      </c>
      <c r="HC44" s="12"/>
      <c r="HD44" s="12"/>
      <c r="ID44" s="213" t="s">
        <v>1363</v>
      </c>
      <c r="IF44" s="9" t="s">
        <v>138</v>
      </c>
      <c r="IG44" s="110" t="str">
        <f t="shared" si="43"/>
        <v>LT8750</v>
      </c>
      <c r="IH44" s="9" t="s">
        <v>723</v>
      </c>
      <c r="II44" s="9" t="s">
        <v>724</v>
      </c>
      <c r="IJ44" s="9" t="s">
        <v>725</v>
      </c>
      <c r="IK44" s="9" t="s">
        <v>726</v>
      </c>
      <c r="IN44" s="9" t="s">
        <v>52</v>
      </c>
      <c r="IO44" s="9" t="s">
        <v>572</v>
      </c>
      <c r="IP44" s="14" t="s">
        <v>25</v>
      </c>
      <c r="IQ44" s="108" t="s">
        <v>878</v>
      </c>
      <c r="IR44" s="108" t="s">
        <v>886</v>
      </c>
      <c r="JZ44" s="19" t="s">
        <v>1334</v>
      </c>
      <c r="KA44" s="210">
        <f t="shared" ref="KA44:KM44" si="46">IF(AND(KA7="Classic Maple",OR(KA14="Lg Classic Lugs", KA14="Mini Classic Lugs"),KA8&lt;&gt;"Snare"),1,0)</f>
        <v>0</v>
      </c>
      <c r="KB44" s="210">
        <f t="shared" si="46"/>
        <v>0</v>
      </c>
      <c r="KC44" s="210">
        <f t="shared" si="46"/>
        <v>0</v>
      </c>
      <c r="KD44" s="210">
        <f t="shared" si="46"/>
        <v>0</v>
      </c>
      <c r="KE44" s="210">
        <f t="shared" si="46"/>
        <v>0</v>
      </c>
      <c r="KF44" s="210">
        <f t="shared" si="46"/>
        <v>0</v>
      </c>
      <c r="KG44" s="210">
        <f t="shared" si="46"/>
        <v>0</v>
      </c>
      <c r="KH44" s="210">
        <f t="shared" si="46"/>
        <v>0</v>
      </c>
      <c r="KI44" s="210">
        <f t="shared" si="46"/>
        <v>0</v>
      </c>
      <c r="KJ44" s="210">
        <f t="shared" si="46"/>
        <v>0</v>
      </c>
      <c r="KK44" s="210">
        <f t="shared" si="46"/>
        <v>0</v>
      </c>
      <c r="KL44" s="210">
        <f t="shared" si="46"/>
        <v>0</v>
      </c>
      <c r="KM44" s="210">
        <f t="shared" si="46"/>
        <v>0</v>
      </c>
    </row>
    <row r="45" spans="1:299" x14ac:dyDescent="0.3">
      <c r="A45" s="210">
        <f>IF(H45="Invalid Selection",1,0)</f>
        <v>0</v>
      </c>
      <c r="B45" s="20"/>
      <c r="C45" s="28"/>
      <c r="D45" s="21" t="s">
        <v>107</v>
      </c>
      <c r="E45" s="9" t="s">
        <v>117</v>
      </c>
      <c r="F45" s="169" t="s">
        <v>103</v>
      </c>
      <c r="G45" s="46"/>
      <c r="H45" s="1" t="str">
        <f>IF(AND(G45&lt;&gt;"",Dtls!ED1="No"),"Invalid Selection","")</f>
        <v/>
      </c>
      <c r="J45" s="61"/>
      <c r="K45" s="26"/>
      <c r="M45" s="17"/>
      <c r="N45" s="69"/>
      <c r="Z45" t="e" cm="1">
        <f t="array" ref="Z45">CONCATENATE(INDEX($CF$3:$CF$23,MATCH($AF$2&amp;"LS",$BT$3:$BT$23&amp;$CC$3:$CC$23,0)),"CUSTOM")</f>
        <v>#N/A</v>
      </c>
      <c r="AA45" t="e">
        <f>INDEX(prd!$BF$5:$BF$40,MATCH(Outfitter!Z45,prd!$BD$5:$BD$40,0))</f>
        <v>#N/A</v>
      </c>
      <c r="AB45" t="e">
        <f>INDEX(prd!$BD$5:$BQ$40,MATCH(Outfitter!$Z45,prd!$BD$5:$BD$40,0),MATCH(Outfitter!$L$1,prd!$BD$5:$BQ$5,0))</f>
        <v>#N/A</v>
      </c>
      <c r="AE45" s="10" t="s">
        <v>107</v>
      </c>
      <c r="AF45" s="179" t="str">
        <f>INDEX(Dtls!$DT$4:$DT$6,MATCH(Outfitter!AG45,Dtls!$DV$4:$DV$6,0))</f>
        <v>N</v>
      </c>
      <c r="AG45" s="4" t="str">
        <f t="shared" si="37"/>
        <v>None</v>
      </c>
      <c r="CN45" s="15" t="s">
        <v>350</v>
      </c>
      <c r="CO45" s="92" t="s">
        <v>351</v>
      </c>
      <c r="CP45" s="14" t="s">
        <v>332</v>
      </c>
      <c r="CQ45" s="14" t="s">
        <v>43</v>
      </c>
      <c r="CR45" s="6" t="str">
        <f t="shared" si="40"/>
        <v>GL: Glacier Blue</v>
      </c>
      <c r="CT45" s="3" t="str">
        <f t="shared" si="41"/>
        <v>Wrap</v>
      </c>
      <c r="CU45" s="12" t="s">
        <v>17</v>
      </c>
      <c r="CV45" s="13" t="s">
        <v>1349</v>
      </c>
      <c r="CW45" s="129" t="str">
        <f t="shared" si="42"/>
        <v>A6: Butterscotch Pearl</v>
      </c>
      <c r="DJ45" s="12" t="s">
        <v>16</v>
      </c>
      <c r="DK45" s="12" t="s">
        <v>24</v>
      </c>
      <c r="DL45" s="12" t="s">
        <v>418</v>
      </c>
      <c r="DM45" s="14" t="s">
        <v>399</v>
      </c>
      <c r="DN45" s="129" t="s">
        <v>1330</v>
      </c>
      <c r="DR45" s="12" t="s">
        <v>17</v>
      </c>
      <c r="DS45" s="12" t="s">
        <v>52</v>
      </c>
      <c r="DT45" s="12" t="s">
        <v>413</v>
      </c>
      <c r="DU45" s="12" t="s">
        <v>397</v>
      </c>
      <c r="DV45" s="95"/>
      <c r="DX45" s="14" t="s">
        <v>56</v>
      </c>
      <c r="DY45" s="12" t="s">
        <v>131</v>
      </c>
      <c r="DZ45" s="12" t="s">
        <v>489</v>
      </c>
      <c r="EC45" s="14" t="s">
        <v>15</v>
      </c>
      <c r="ED45" s="12" t="s">
        <v>52</v>
      </c>
      <c r="EE45" s="12" t="s">
        <v>203</v>
      </c>
      <c r="EF45" s="129" t="s">
        <v>443</v>
      </c>
      <c r="FC45" s="14" t="s">
        <v>62</v>
      </c>
      <c r="FD45" s="14" t="s">
        <v>22</v>
      </c>
      <c r="FE45" s="129" t="s">
        <v>519</v>
      </c>
      <c r="GY45" s="12" t="s">
        <v>157</v>
      </c>
      <c r="GZ45" s="14" t="s">
        <v>16</v>
      </c>
      <c r="HA45" s="12" t="s">
        <v>419</v>
      </c>
      <c r="HB45" s="131" t="str">
        <f t="shared" si="33"/>
        <v>Ludwig Classic 9.5mm</v>
      </c>
      <c r="HC45" s="12"/>
      <c r="HD45" s="12"/>
      <c r="ID45" s="9" t="s">
        <v>928</v>
      </c>
      <c r="IF45" s="9" t="s">
        <v>139</v>
      </c>
      <c r="IG45" s="110" t="str">
        <f t="shared" si="43"/>
        <v>LT880</v>
      </c>
      <c r="IH45" s="9" t="s">
        <v>727</v>
      </c>
      <c r="II45" s="9" t="s">
        <v>728</v>
      </c>
      <c r="IJ45" s="9" t="s">
        <v>729</v>
      </c>
      <c r="IK45" s="9" t="s">
        <v>730</v>
      </c>
      <c r="IN45" s="9" t="s">
        <v>52</v>
      </c>
      <c r="IO45" s="9" t="s">
        <v>576</v>
      </c>
      <c r="IP45" s="14" t="s">
        <v>25</v>
      </c>
      <c r="IQ45" s="108" t="s">
        <v>878</v>
      </c>
      <c r="IR45" s="108" t="s">
        <v>886</v>
      </c>
      <c r="IU45" t="s">
        <v>893</v>
      </c>
      <c r="IV45" t="s">
        <v>900</v>
      </c>
      <c r="IW45" t="s">
        <v>888</v>
      </c>
      <c r="JZ45" s="19" t="s">
        <v>1335</v>
      </c>
      <c r="KA45" s="210">
        <f t="shared" ref="KA45:KM45" si="47">IF(KA9="5.5x14 8 Lug Snare",1,0)</f>
        <v>0</v>
      </c>
      <c r="KB45" s="210">
        <f t="shared" si="47"/>
        <v>0</v>
      </c>
      <c r="KC45" s="210">
        <f t="shared" si="47"/>
        <v>0</v>
      </c>
      <c r="KD45" s="210">
        <f t="shared" si="47"/>
        <v>0</v>
      </c>
      <c r="KE45" s="210">
        <f t="shared" si="47"/>
        <v>0</v>
      </c>
      <c r="KF45" s="210">
        <f t="shared" si="47"/>
        <v>0</v>
      </c>
      <c r="KG45" s="210">
        <f t="shared" si="47"/>
        <v>0</v>
      </c>
      <c r="KH45" s="210">
        <f t="shared" si="47"/>
        <v>0</v>
      </c>
      <c r="KI45" s="210">
        <f t="shared" si="47"/>
        <v>0</v>
      </c>
      <c r="KJ45" s="210">
        <f t="shared" si="47"/>
        <v>0</v>
      </c>
      <c r="KK45" s="210">
        <f t="shared" si="47"/>
        <v>0</v>
      </c>
      <c r="KL45" s="210">
        <f t="shared" si="47"/>
        <v>0</v>
      </c>
      <c r="KM45" s="210">
        <f t="shared" si="47"/>
        <v>0</v>
      </c>
    </row>
    <row r="46" spans="1:299" x14ac:dyDescent="0.3">
      <c r="A46" s="210">
        <f>IF(H46="Invalid Selection",1,0)</f>
        <v>0</v>
      </c>
      <c r="B46" s="20"/>
      <c r="C46" s="28"/>
      <c r="D46" s="21" t="s">
        <v>145</v>
      </c>
      <c r="E46" s="9" t="s">
        <v>1150</v>
      </c>
      <c r="F46" s="169" t="str">
        <f>IF(Dtls!EO1="Yes","Change to","No Option")</f>
        <v>Change to</v>
      </c>
      <c r="G46" s="46"/>
      <c r="H46" s="48" t="str">
        <f>IF(OR($G$46="",$G$46="Triple Flange"),"",IF(ISERROR(MATCH($G$46,Dtls!EO4,0))=FALSE,"","Invalid Selection"))</f>
        <v/>
      </c>
      <c r="J46" s="1"/>
      <c r="K46" s="26"/>
      <c r="M46" s="17"/>
      <c r="N46" s="69"/>
      <c r="Z46" t="e" cm="1">
        <f t="array" ref="Z46">CONCATENATE(INDEX($CF$3:$CF$23,MATCH($AF$2&amp;"LS",$BT$3:$BT$23&amp;$CC$3:$CC$23,0)),"CUSTOM")</f>
        <v>#N/A</v>
      </c>
      <c r="AA46" t="e">
        <f>INDEX(prd!$BF$5:$BF$40,MATCH(Outfitter!Z46,prd!$BD$5:$BD$40,0))</f>
        <v>#N/A</v>
      </c>
      <c r="AB46" t="e">
        <f>INDEX(prd!$BD$5:$BQ$40,MATCH(Outfitter!$Z46,prd!$BD$5:$BD$40,0),MATCH(Outfitter!$L$1,prd!$BD$5:$BQ$5,0))</f>
        <v>#N/A</v>
      </c>
      <c r="AE46" s="10" t="s">
        <v>1326</v>
      </c>
      <c r="AF46" s="179" t="str">
        <f>INDEX(Dtls!EM3:EM5,MATCH(Outfitter!AG46,Dtls!EN3:EN5,0))</f>
        <v>3F</v>
      </c>
      <c r="AG46" s="4" t="str">
        <f>IF(G46="",E46,G46)</f>
        <v>Triple Flanged Hoops</v>
      </c>
      <c r="CN46" s="15" t="s">
        <v>352</v>
      </c>
      <c r="CO46" s="92" t="s">
        <v>353</v>
      </c>
      <c r="CP46" s="14" t="s">
        <v>332</v>
      </c>
      <c r="CQ46" s="14" t="s">
        <v>43</v>
      </c>
      <c r="CR46" s="6" t="str">
        <f t="shared" si="40"/>
        <v>33: Gold Sparkle</v>
      </c>
      <c r="CT46" s="3" t="str">
        <f t="shared" si="41"/>
        <v>Wrap</v>
      </c>
      <c r="CU46" s="12" t="s">
        <v>19</v>
      </c>
      <c r="CV46" s="13" t="s">
        <v>1349</v>
      </c>
      <c r="CW46" s="129" t="str">
        <f t="shared" si="42"/>
        <v>A6: Butterscotch Pearl</v>
      </c>
      <c r="DJ46" s="12" t="s">
        <v>16</v>
      </c>
      <c r="DK46" s="12" t="s">
        <v>24</v>
      </c>
      <c r="DL46" s="12" t="s">
        <v>413</v>
      </c>
      <c r="DM46" s="14" t="s">
        <v>397</v>
      </c>
      <c r="DN46" s="129" t="s">
        <v>1271</v>
      </c>
      <c r="DR46" s="12" t="s">
        <v>17</v>
      </c>
      <c r="DS46" s="12" t="s">
        <v>429</v>
      </c>
      <c r="DT46" s="12" t="s">
        <v>413</v>
      </c>
      <c r="DU46" s="12" t="s">
        <v>397</v>
      </c>
      <c r="DV46" s="95"/>
      <c r="DX46" s="14" t="s">
        <v>55</v>
      </c>
      <c r="DY46" s="12" t="s">
        <v>45</v>
      </c>
      <c r="DZ46" s="73" t="s">
        <v>490</v>
      </c>
      <c r="EC46" s="14" t="s">
        <v>15</v>
      </c>
      <c r="ED46" s="12" t="s">
        <v>24</v>
      </c>
      <c r="EE46" s="14" t="s">
        <v>206</v>
      </c>
      <c r="EF46" s="129" t="s">
        <v>450</v>
      </c>
      <c r="FC46" s="14" t="s">
        <v>62</v>
      </c>
      <c r="FD46" s="14" t="s">
        <v>518</v>
      </c>
      <c r="FE46" s="129" t="s">
        <v>1337</v>
      </c>
      <c r="GY46" s="12" t="s">
        <v>157</v>
      </c>
      <c r="GZ46" s="14" t="s">
        <v>16</v>
      </c>
      <c r="HA46" s="12" t="s">
        <v>417</v>
      </c>
      <c r="HB46" s="131" t="str">
        <f t="shared" si="33"/>
        <v>Vibraband w/Ludwig 9.5mm</v>
      </c>
      <c r="HC46" s="12"/>
      <c r="HD46" s="12"/>
      <c r="ID46" s="9" t="s">
        <v>930</v>
      </c>
      <c r="IF46" s="9" t="s">
        <v>140</v>
      </c>
      <c r="IG46" s="110" t="str">
        <f t="shared" si="43"/>
        <v>LT890</v>
      </c>
      <c r="IH46" s="9" t="s">
        <v>731</v>
      </c>
      <c r="II46" s="9" t="s">
        <v>732</v>
      </c>
      <c r="IJ46" s="9" t="s">
        <v>733</v>
      </c>
      <c r="IK46" s="9" t="s">
        <v>734</v>
      </c>
      <c r="IN46" s="9" t="s">
        <v>52</v>
      </c>
      <c r="IO46" s="9" t="s">
        <v>570</v>
      </c>
      <c r="IP46" s="14" t="s">
        <v>22</v>
      </c>
      <c r="IQ46" s="108" t="s">
        <v>878</v>
      </c>
      <c r="IR46" s="108" t="s">
        <v>879</v>
      </c>
      <c r="IU46" t="s">
        <v>52</v>
      </c>
      <c r="IV46" t="s">
        <v>572</v>
      </c>
      <c r="IW46" t="s">
        <v>889</v>
      </c>
      <c r="JZ46" s="19" t="s">
        <v>1336</v>
      </c>
      <c r="KA46" s="210">
        <f t="shared" ref="KA46:KM46" si="48">IF(OR(KA8="Snare",KA15="Double Head"),1,0)</f>
        <v>0</v>
      </c>
      <c r="KB46" s="210">
        <f t="shared" si="48"/>
        <v>0</v>
      </c>
      <c r="KC46" s="210">
        <f t="shared" si="48"/>
        <v>0</v>
      </c>
      <c r="KD46" s="210">
        <f t="shared" si="48"/>
        <v>0</v>
      </c>
      <c r="KE46" s="210">
        <f t="shared" si="48"/>
        <v>0</v>
      </c>
      <c r="KF46" s="210">
        <f t="shared" si="48"/>
        <v>0</v>
      </c>
      <c r="KG46" s="210">
        <f t="shared" si="48"/>
        <v>0</v>
      </c>
      <c r="KH46" s="210">
        <f t="shared" si="48"/>
        <v>0</v>
      </c>
      <c r="KI46" s="210">
        <f t="shared" si="48"/>
        <v>0</v>
      </c>
      <c r="KJ46" s="210">
        <f t="shared" si="48"/>
        <v>0</v>
      </c>
      <c r="KK46" s="210">
        <f t="shared" si="48"/>
        <v>0</v>
      </c>
      <c r="KL46" s="210">
        <f t="shared" si="48"/>
        <v>0</v>
      </c>
      <c r="KM46" s="210">
        <f t="shared" si="48"/>
        <v>0</v>
      </c>
    </row>
    <row r="47" spans="1:299" x14ac:dyDescent="0.3">
      <c r="A47" s="210"/>
      <c r="B47" s="20"/>
      <c r="C47" s="28"/>
      <c r="D47" s="21" t="s">
        <v>112</v>
      </c>
      <c r="E47" s="173" t="s">
        <v>1401</v>
      </c>
      <c r="F47" s="169" t="s">
        <v>103</v>
      </c>
      <c r="G47" s="46"/>
      <c r="H47" s="26"/>
      <c r="J47" s="1"/>
      <c r="K47" s="26"/>
      <c r="M47" s="17"/>
      <c r="N47" s="69"/>
      <c r="Z47" t="e" cm="1">
        <f t="array" ref="Z47">CONCATENATE(INDEX($CF$3:$CF$23,MATCH($AF$2&amp;"LS",$BT$3:$BT$23&amp;$CC$3:$CC$23,0)),"CUSTOM")</f>
        <v>#N/A</v>
      </c>
      <c r="AA47" t="e">
        <f>INDEX(prd!$BF$5:$BF$40,MATCH(Outfitter!Z47,prd!$BD$5:$BD$40,0))</f>
        <v>#N/A</v>
      </c>
      <c r="AB47" t="e">
        <f>INDEX(prd!$BD$5:$BQ$40,MATCH(Outfitter!$Z47,prd!$BD$5:$BD$40,0),MATCH(Outfitter!$L$1,prd!$BD$5:$BQ$5,0))</f>
        <v>#N/A</v>
      </c>
      <c r="AE47" s="10" t="s">
        <v>120</v>
      </c>
      <c r="AF47" s="179" t="str">
        <f>INDEX(Dtls!BJ3:BJ13,MATCH(Outfitter!AG47,Dtls!BK3:BK13,0))</f>
        <v>BA01</v>
      </c>
      <c r="AG47" s="4" t="str">
        <f>IF(G47="",E47,G47)</f>
        <v>Remo Ctd Amb Batter</v>
      </c>
      <c r="CN47" s="15" t="s">
        <v>354</v>
      </c>
      <c r="CO47" s="92" t="s">
        <v>355</v>
      </c>
      <c r="CP47" s="14" t="s">
        <v>332</v>
      </c>
      <c r="CQ47" s="14" t="s">
        <v>43</v>
      </c>
      <c r="CR47" s="6" t="str">
        <f t="shared" si="40"/>
        <v>54: Green Sparkle</v>
      </c>
      <c r="CT47" s="3" t="str">
        <f t="shared" si="41"/>
        <v>Sprayed</v>
      </c>
      <c r="CU47" s="12" t="s">
        <v>15</v>
      </c>
      <c r="CV47" s="13" t="s">
        <v>294</v>
      </c>
      <c r="CW47" s="129" t="str">
        <f t="shared" si="42"/>
        <v>0Y: Charcoal Shadow</v>
      </c>
      <c r="DJ47" s="12" t="s">
        <v>16</v>
      </c>
      <c r="DK47" s="12" t="s">
        <v>24</v>
      </c>
      <c r="DL47" s="12" t="s">
        <v>413</v>
      </c>
      <c r="DM47" s="14" t="s">
        <v>394</v>
      </c>
      <c r="DN47" s="129" t="s">
        <v>199</v>
      </c>
      <c r="DR47" s="12" t="s">
        <v>17</v>
      </c>
      <c r="DS47" s="12" t="s">
        <v>24</v>
      </c>
      <c r="DT47" s="12" t="s">
        <v>413</v>
      </c>
      <c r="DU47" s="12" t="s">
        <v>397</v>
      </c>
      <c r="DV47" s="95"/>
      <c r="DX47" s="14" t="s">
        <v>55</v>
      </c>
      <c r="DY47" s="12" t="s">
        <v>49</v>
      </c>
      <c r="DZ47" s="73" t="s">
        <v>491</v>
      </c>
      <c r="EC47" s="14" t="s">
        <v>15</v>
      </c>
      <c r="ED47" s="12" t="s">
        <v>24</v>
      </c>
      <c r="EE47" s="12" t="s">
        <v>132</v>
      </c>
      <c r="EF47" s="129" t="s">
        <v>451</v>
      </c>
      <c r="FC47" s="14" t="s">
        <v>62</v>
      </c>
      <c r="FD47" s="14" t="s">
        <v>16</v>
      </c>
      <c r="FE47" s="129" t="s">
        <v>1338</v>
      </c>
      <c r="GY47" s="12" t="s">
        <v>157</v>
      </c>
      <c r="GZ47" s="14" t="s">
        <v>16</v>
      </c>
      <c r="HA47" s="12" t="s">
        <v>424</v>
      </c>
      <c r="HB47" s="131" t="str">
        <f t="shared" si="33"/>
        <v>Triad Bracket 12mm</v>
      </c>
      <c r="HC47" s="12"/>
      <c r="HD47" s="12"/>
      <c r="ID47" s="9" t="s">
        <v>1288</v>
      </c>
      <c r="IF47" s="9" t="s">
        <v>141</v>
      </c>
      <c r="IG47" s="110" t="str">
        <f t="shared" si="43"/>
        <v>LT882</v>
      </c>
      <c r="IH47" s="9" t="s">
        <v>735</v>
      </c>
      <c r="II47" s="9" t="s">
        <v>736</v>
      </c>
      <c r="IJ47" s="9" t="s">
        <v>737</v>
      </c>
      <c r="IK47" s="9" t="s">
        <v>738</v>
      </c>
      <c r="IN47" s="9" t="s">
        <v>52</v>
      </c>
      <c r="IO47" s="9" t="s">
        <v>572</v>
      </c>
      <c r="IP47" s="14" t="s">
        <v>22</v>
      </c>
      <c r="IQ47" s="108" t="s">
        <v>878</v>
      </c>
      <c r="IR47" s="108" t="s">
        <v>879</v>
      </c>
      <c r="JZ47" s="10"/>
      <c r="KA47" s="210"/>
      <c r="KB47" s="210"/>
      <c r="KC47" s="210"/>
      <c r="KD47" s="210"/>
      <c r="KE47" s="210"/>
      <c r="KF47" s="210"/>
      <c r="KG47" s="210"/>
      <c r="KH47" s="210"/>
      <c r="KI47" s="210"/>
      <c r="KJ47" s="210"/>
      <c r="KK47" s="210"/>
      <c r="KL47" s="210"/>
      <c r="KM47" s="210"/>
    </row>
    <row r="48" spans="1:299" x14ac:dyDescent="0.3">
      <c r="A48" s="210">
        <f>BJ29</f>
        <v>0</v>
      </c>
      <c r="B48" s="20"/>
      <c r="C48" s="28"/>
      <c r="D48" s="21" t="s">
        <v>130</v>
      </c>
      <c r="E48" s="26" t="str" cm="1">
        <f t="array" ref="E48">INDEX(BL24:BL27,MATCH(BJ22&amp;"."&amp;BK22,BJ24:BJ27&amp;"."&amp;BK24:BK27,0))</f>
        <v>Remo Clear Amb Snare</v>
      </c>
      <c r="F48" s="169" t="s">
        <v>103</v>
      </c>
      <c r="G48" s="46"/>
      <c r="J48" s="1"/>
      <c r="M48" s="17"/>
      <c r="N48" s="69"/>
      <c r="Z48" t="e" cm="1">
        <f t="array" ref="Z48">CONCATENATE(INDEX($CF$3:$CF$23,MATCH($AF$2&amp;"LS",$BT$3:$BT$23&amp;$CC$3:$CC$23,0)),"CUSTOM")</f>
        <v>#N/A</v>
      </c>
      <c r="AA48" t="e">
        <f>INDEX(prd!$BF$5:$BF$40,MATCH(Outfitter!Z48,prd!$BD$5:$BD$40,0))</f>
        <v>#N/A</v>
      </c>
      <c r="AB48" t="e">
        <f>INDEX(prd!$BD$5:$BQ$40,MATCH(Outfitter!$Z48,prd!$BD$5:$BD$40,0),MATCH(Outfitter!$L$1,prd!$BD$5:$BQ$5,0))</f>
        <v>#N/A</v>
      </c>
      <c r="AE48" s="10" t="s">
        <v>123</v>
      </c>
      <c r="AF48" s="179" t="s">
        <v>1004</v>
      </c>
      <c r="AG48" s="4" t="str">
        <f>IF(G48="",E48,G48)</f>
        <v>Remo Clear Amb Snare</v>
      </c>
      <c r="CN48" s="15" t="s">
        <v>356</v>
      </c>
      <c r="CO48" s="92" t="s">
        <v>357</v>
      </c>
      <c r="CP48" s="14" t="s">
        <v>332</v>
      </c>
      <c r="CQ48" s="14" t="s">
        <v>43</v>
      </c>
      <c r="CR48" s="6" t="str">
        <f t="shared" si="40"/>
        <v>H1: Hybrid Black Sparkle</v>
      </c>
      <c r="CT48" s="3" t="str">
        <f t="shared" si="41"/>
        <v>Sprayed</v>
      </c>
      <c r="CU48" s="12" t="s">
        <v>16</v>
      </c>
      <c r="CV48" s="13" t="s">
        <v>294</v>
      </c>
      <c r="CW48" s="129" t="str">
        <f t="shared" si="42"/>
        <v>0Y: Charcoal Shadow</v>
      </c>
      <c r="DJ48" s="12" t="s">
        <v>16</v>
      </c>
      <c r="DK48" s="12" t="s">
        <v>24</v>
      </c>
      <c r="DL48" s="12" t="s">
        <v>413</v>
      </c>
      <c r="DM48" s="14" t="s">
        <v>399</v>
      </c>
      <c r="DN48" s="129" t="s">
        <v>1330</v>
      </c>
      <c r="DR48" s="12" t="s">
        <v>17</v>
      </c>
      <c r="DS48" s="12" t="s">
        <v>24</v>
      </c>
      <c r="DT48" s="12" t="s">
        <v>415</v>
      </c>
      <c r="DU48" s="12" t="s">
        <v>397</v>
      </c>
      <c r="DV48" s="95"/>
      <c r="DX48" s="14" t="s">
        <v>55</v>
      </c>
      <c r="DY48" s="12" t="s">
        <v>51</v>
      </c>
      <c r="DZ48" s="73" t="s">
        <v>492</v>
      </c>
      <c r="EC48" s="14" t="s">
        <v>15</v>
      </c>
      <c r="ED48" s="12" t="s">
        <v>24</v>
      </c>
      <c r="EE48" s="12" t="s">
        <v>133</v>
      </c>
      <c r="EF48" s="129" t="s">
        <v>452</v>
      </c>
      <c r="FC48" s="14" t="s">
        <v>74</v>
      </c>
      <c r="FD48" s="14" t="s">
        <v>22</v>
      </c>
      <c r="FE48" s="129" t="s">
        <v>519</v>
      </c>
      <c r="GY48" s="12" t="s">
        <v>157</v>
      </c>
      <c r="GZ48" s="14" t="s">
        <v>16</v>
      </c>
      <c r="HA48" s="12" t="s">
        <v>418</v>
      </c>
      <c r="HB48" s="131" t="str">
        <f t="shared" si="33"/>
        <v>Vibraband w/Triad 12mm</v>
      </c>
      <c r="HC48" s="12"/>
      <c r="HD48" s="12"/>
      <c r="ID48" s="9" t="s">
        <v>1300</v>
      </c>
      <c r="IF48" s="9" t="s">
        <v>143</v>
      </c>
      <c r="IG48" s="110" t="str">
        <f t="shared" ref="IG48:IG68" si="49">IF($AF$36="SH",CONCATENATE("LTS8",ID48),CONCATENATE("LT8",ID48))</f>
        <v>LT892</v>
      </c>
      <c r="IH48" s="9" t="s">
        <v>739</v>
      </c>
      <c r="II48" s="9" t="s">
        <v>740</v>
      </c>
      <c r="IJ48" s="9" t="s">
        <v>741</v>
      </c>
      <c r="IK48" s="9" t="s">
        <v>742</v>
      </c>
      <c r="IN48" s="9" t="s">
        <v>52</v>
      </c>
      <c r="IO48" s="9" t="s">
        <v>576</v>
      </c>
      <c r="IP48" s="14" t="s">
        <v>22</v>
      </c>
      <c r="IQ48" s="108" t="s">
        <v>878</v>
      </c>
      <c r="IR48" s="108" t="s">
        <v>879</v>
      </c>
      <c r="KA48" s="254"/>
      <c r="KB48" s="210"/>
      <c r="KC48" s="210"/>
      <c r="KD48" s="210"/>
      <c r="KE48" s="210"/>
      <c r="KF48" s="210"/>
      <c r="KG48" s="210"/>
      <c r="KH48" s="210"/>
      <c r="KI48" s="210"/>
      <c r="KJ48" s="210"/>
      <c r="KK48" s="210"/>
      <c r="KL48" s="210"/>
      <c r="KM48" s="210"/>
    </row>
    <row r="49" spans="1:299" x14ac:dyDescent="0.3">
      <c r="A49" s="210">
        <f>IF(E53="Invalid Selection",1,0)</f>
        <v>0</v>
      </c>
      <c r="B49" s="227"/>
      <c r="C49" s="28"/>
      <c r="D49" s="21" t="s">
        <v>121</v>
      </c>
      <c r="E49" s="9" t="str">
        <f>IFERROR(INDEX(Dtls!DF3:DF8,MATCH(AF2,Dtls!DD3:DD8,0)),"Shell Dependent")</f>
        <v>Shell Dependent</v>
      </c>
      <c r="F49" s="169" t="e">
        <f>IF($AF$2&lt;&gt;"L8","No Option","Change to")</f>
        <v>#N/A</v>
      </c>
      <c r="G49" s="46"/>
      <c r="J49" s="1"/>
      <c r="K49" s="26"/>
      <c r="M49" s="17"/>
      <c r="N49" s="69"/>
      <c r="Z49" t="e" cm="1">
        <f t="array" ref="Z49">CONCATENATE(INDEX($CF$3:$CF$23,MATCH($AF$2&amp;"LS",$BT$3:$BT$23&amp;$CC$3:$CC$23,0)),"CUSTOM")</f>
        <v>#N/A</v>
      </c>
      <c r="AA49" t="e">
        <f>INDEX(prd!$BF$5:$BF$40,MATCH(Outfitter!Z49,prd!$BD$5:$BD$40,0))</f>
        <v>#N/A</v>
      </c>
      <c r="AB49" t="e">
        <f>INDEX(prd!$BD$5:$BQ$40,MATCH(Outfitter!$Z49,prd!$BD$5:$BD$40,0),MATCH(Outfitter!$L$1,prd!$BD$5:$BQ$5,0))</f>
        <v>#N/A</v>
      </c>
      <c r="AE49" s="10" t="s">
        <v>1265</v>
      </c>
      <c r="AF49" s="179" t="e">
        <f>INDEX(Dtls!DD3:DD8,MATCH(Outfitter!AG49,Dtls!DF3:DF8,0))</f>
        <v>#N/A</v>
      </c>
      <c r="AG49" s="4" t="str">
        <f t="shared" si="37"/>
        <v>Shell Dependent</v>
      </c>
      <c r="CN49" s="15" t="s">
        <v>358</v>
      </c>
      <c r="CO49" s="86" t="s">
        <v>359</v>
      </c>
      <c r="CP49" s="14" t="s">
        <v>332</v>
      </c>
      <c r="CQ49" s="14" t="s">
        <v>43</v>
      </c>
      <c r="CR49" s="6" t="str">
        <f t="shared" si="40"/>
        <v>H2: Hybrid Copper Sparkle</v>
      </c>
      <c r="CT49" s="3" t="str">
        <f t="shared" si="41"/>
        <v>Sprayed</v>
      </c>
      <c r="CU49" s="12" t="s">
        <v>15</v>
      </c>
      <c r="CV49" s="13" t="s">
        <v>296</v>
      </c>
      <c r="CW49" s="129" t="str">
        <f t="shared" si="42"/>
        <v>0L: Cherry Stain</v>
      </c>
      <c r="DJ49" s="12" t="s">
        <v>16</v>
      </c>
      <c r="DK49" s="12" t="s">
        <v>24</v>
      </c>
      <c r="DL49" s="12" t="s">
        <v>419</v>
      </c>
      <c r="DM49" s="14" t="s">
        <v>398</v>
      </c>
      <c r="DN49" s="129" t="s">
        <v>1271</v>
      </c>
      <c r="DR49" s="12" t="s">
        <v>17</v>
      </c>
      <c r="DS49" s="12" t="s">
        <v>24</v>
      </c>
      <c r="DT49" s="12" t="s">
        <v>417</v>
      </c>
      <c r="DU49" s="12" t="s">
        <v>397</v>
      </c>
      <c r="DV49" s="95"/>
      <c r="DX49" s="14" t="s">
        <v>55</v>
      </c>
      <c r="DY49" s="12" t="s">
        <v>54</v>
      </c>
      <c r="DZ49" s="73" t="s">
        <v>493</v>
      </c>
      <c r="EC49" s="14" t="s">
        <v>15</v>
      </c>
      <c r="ED49" s="12" t="s">
        <v>24</v>
      </c>
      <c r="EE49" s="12" t="s">
        <v>207</v>
      </c>
      <c r="EF49" s="129" t="s">
        <v>437</v>
      </c>
      <c r="FC49" s="14" t="s">
        <v>74</v>
      </c>
      <c r="FD49" s="14" t="s">
        <v>518</v>
      </c>
      <c r="FE49" s="129" t="s">
        <v>1337</v>
      </c>
      <c r="GY49" s="12" t="s">
        <v>157</v>
      </c>
      <c r="GZ49" s="14" t="s">
        <v>22</v>
      </c>
      <c r="HA49" s="12" t="s">
        <v>413</v>
      </c>
      <c r="HB49" s="131" t="str">
        <f t="shared" si="33"/>
        <v>No Mounting Bracket</v>
      </c>
      <c r="HC49" s="12"/>
      <c r="HD49" s="12"/>
      <c r="ID49" s="9" t="s">
        <v>1289</v>
      </c>
      <c r="IF49" s="9" t="s">
        <v>144</v>
      </c>
      <c r="IG49" s="110" t="str">
        <f t="shared" si="49"/>
        <v>LT802</v>
      </c>
      <c r="IH49" s="9" t="s">
        <v>743</v>
      </c>
      <c r="II49" s="9" t="s">
        <v>744</v>
      </c>
      <c r="IJ49" s="9" t="s">
        <v>745</v>
      </c>
      <c r="IK49" s="9" t="s">
        <v>746</v>
      </c>
      <c r="IN49" s="9" t="s">
        <v>52</v>
      </c>
      <c r="IO49" s="9" t="s">
        <v>570</v>
      </c>
      <c r="IP49" s="14" t="s">
        <v>24</v>
      </c>
      <c r="IQ49" s="108" t="s">
        <v>878</v>
      </c>
      <c r="IR49" s="108" t="s">
        <v>47</v>
      </c>
      <c r="KA49" s="210"/>
      <c r="KB49" s="210"/>
      <c r="KC49" s="210"/>
      <c r="KD49" s="210"/>
      <c r="KE49" s="210"/>
      <c r="KF49" s="210"/>
      <c r="KG49" s="210"/>
      <c r="KH49" s="210"/>
      <c r="KI49" s="210"/>
      <c r="KJ49" s="210"/>
      <c r="KK49" s="210"/>
      <c r="KL49" s="210"/>
      <c r="KM49" s="210"/>
    </row>
    <row r="50" spans="1:299" ht="15" thickBot="1" x14ac:dyDescent="0.35">
      <c r="A50" s="210">
        <f>IF(H50="Invalid Selection",1,0)</f>
        <v>0</v>
      </c>
      <c r="B50" s="20"/>
      <c r="C50" s="29"/>
      <c r="D50" s="43" t="s">
        <v>8</v>
      </c>
      <c r="E50" s="9" t="s">
        <v>105</v>
      </c>
      <c r="F50" s="169" t="str">
        <f>IF(AND(AK50="Yes",AM50="No"),"Change to","No Option")</f>
        <v>No Option</v>
      </c>
      <c r="G50" s="193"/>
      <c r="H50" s="48" t="str">
        <f>IF($G$50="","",IF(ISERROR(MATCH($G$50,Dtls!ET4:ET6,0))=FALSE,"","Invalid Selection"))</f>
        <v/>
      </c>
      <c r="M50" s="17"/>
      <c r="Z50" t="e" cm="1">
        <f t="array" ref="Z50">CONCATENATE(INDEX($CF$3:$CF$23,MATCH($AF$2&amp;"LS",$BT$3:$BT$23&amp;$CC$3:$CC$23,0)),"CUSTOM")</f>
        <v>#N/A</v>
      </c>
      <c r="AA50" t="e">
        <f>INDEX(prd!$BF$5:$BF$40,MATCH(Outfitter!Z50,prd!$BD$5:$BD$40,0))</f>
        <v>#N/A</v>
      </c>
      <c r="AB50" t="e">
        <f>INDEX(prd!$BD$5:$BQ$40,MATCH(Outfitter!$Z50,prd!$BD$5:$BD$40,0),MATCH(Outfitter!$L$1,prd!$BD$5:$BQ$5,0))</f>
        <v>#N/A</v>
      </c>
      <c r="AE50" s="10" t="s">
        <v>8</v>
      </c>
      <c r="AF50" s="179" t="str">
        <f>INDEX(Dtls!ER3:ER5,MATCH(Outfitter!AG50,Dtls!ES3:ES5,0))</f>
        <v>STD</v>
      </c>
      <c r="AG50" s="4" t="str">
        <f t="shared" si="37"/>
        <v>Phonic</v>
      </c>
      <c r="AJ50" s="174" t="s">
        <v>1160</v>
      </c>
      <c r="AK50" s="175" t="str">
        <f>IF(ISERROR(MATCH("5H_14x8S",AI8:AI20,0))=FALSE,"Yes","No")</f>
        <v>No</v>
      </c>
      <c r="AL50" s="177" t="s">
        <v>1129</v>
      </c>
      <c r="AM50" s="177" t="str">
        <f>IF(SUM(BH8:BH20)&gt;0,"Yes","No")</f>
        <v>No</v>
      </c>
      <c r="CN50" s="15" t="s">
        <v>59</v>
      </c>
      <c r="CO50" s="86" t="s">
        <v>360</v>
      </c>
      <c r="CP50" s="14" t="s">
        <v>332</v>
      </c>
      <c r="CQ50" s="14" t="s">
        <v>43</v>
      </c>
      <c r="CR50" s="6" t="str">
        <f t="shared" si="40"/>
        <v>A2: Lemon Oyster</v>
      </c>
      <c r="CT50" s="3" t="str">
        <f t="shared" si="41"/>
        <v>Sprayed</v>
      </c>
      <c r="CU50" s="12" t="s">
        <v>16</v>
      </c>
      <c r="CV50" s="13" t="s">
        <v>296</v>
      </c>
      <c r="CW50" s="129" t="str">
        <f t="shared" si="42"/>
        <v>0L: Cherry Stain</v>
      </c>
      <c r="DJ50" s="12" t="s">
        <v>16</v>
      </c>
      <c r="DK50" s="12" t="s">
        <v>24</v>
      </c>
      <c r="DL50" s="12" t="s">
        <v>419</v>
      </c>
      <c r="DM50" s="14" t="s">
        <v>395</v>
      </c>
      <c r="DN50" s="129" t="s">
        <v>199</v>
      </c>
      <c r="DR50" s="12" t="s">
        <v>17</v>
      </c>
      <c r="DS50" s="12" t="s">
        <v>24</v>
      </c>
      <c r="DT50" s="12" t="s">
        <v>416</v>
      </c>
      <c r="DU50" s="12" t="s">
        <v>397</v>
      </c>
      <c r="DV50" s="95"/>
      <c r="DX50" s="14" t="s">
        <v>55</v>
      </c>
      <c r="DY50" s="12" t="s">
        <v>58</v>
      </c>
      <c r="DZ50" s="73" t="s">
        <v>494</v>
      </c>
      <c r="EC50" s="14" t="s">
        <v>15</v>
      </c>
      <c r="ED50" s="12" t="s">
        <v>24</v>
      </c>
      <c r="EE50" s="12" t="s">
        <v>134</v>
      </c>
      <c r="EF50" s="129" t="s">
        <v>453</v>
      </c>
      <c r="FC50" s="14" t="s">
        <v>74</v>
      </c>
      <c r="FD50" s="14" t="s">
        <v>16</v>
      </c>
      <c r="FE50" s="129" t="s">
        <v>1338</v>
      </c>
      <c r="GY50" s="12" t="s">
        <v>157</v>
      </c>
      <c r="GZ50" s="14" t="s">
        <v>22</v>
      </c>
      <c r="HA50" s="12" t="s">
        <v>419</v>
      </c>
      <c r="HB50" s="131" t="str">
        <f t="shared" si="33"/>
        <v>Ludwig Classic 9.5mm</v>
      </c>
      <c r="HC50" s="12"/>
      <c r="HD50" s="12"/>
      <c r="ID50" s="9" t="s">
        <v>1301</v>
      </c>
      <c r="IF50" s="9" t="s">
        <v>146</v>
      </c>
      <c r="IG50" s="110" t="str">
        <f t="shared" si="49"/>
        <v>LT812</v>
      </c>
      <c r="IH50" s="9" t="s">
        <v>747</v>
      </c>
      <c r="II50" s="9" t="s">
        <v>748</v>
      </c>
      <c r="IJ50" s="9" t="s">
        <v>749</v>
      </c>
      <c r="IK50" s="9" t="s">
        <v>750</v>
      </c>
      <c r="IN50" s="9" t="s">
        <v>52</v>
      </c>
      <c r="IO50" s="9" t="s">
        <v>572</v>
      </c>
      <c r="IP50" s="14" t="s">
        <v>24</v>
      </c>
      <c r="IQ50" s="108" t="s">
        <v>878</v>
      </c>
      <c r="IR50" s="108" t="s">
        <v>47</v>
      </c>
      <c r="KA50" s="144"/>
      <c r="KB50" s="144"/>
      <c r="KC50" s="144"/>
      <c r="KD50" s="144"/>
      <c r="KE50" s="144"/>
      <c r="KF50" s="144"/>
      <c r="KG50" s="144"/>
      <c r="KH50" s="144"/>
      <c r="KI50" s="144"/>
      <c r="KJ50" s="144"/>
      <c r="KK50" s="144"/>
      <c r="KL50" s="144"/>
      <c r="KM50" s="144"/>
    </row>
    <row r="51" spans="1:299" x14ac:dyDescent="0.3">
      <c r="B51" s="78" t="s">
        <v>1903</v>
      </c>
      <c r="C51" s="45"/>
      <c r="D51" s="45"/>
      <c r="E51" s="45"/>
      <c r="F51" s="19"/>
      <c r="G51" s="45"/>
      <c r="H51" s="1"/>
      <c r="M51" s="17"/>
      <c r="CN51" s="15" t="s">
        <v>932</v>
      </c>
      <c r="CO51" s="86" t="s">
        <v>1351</v>
      </c>
      <c r="CP51" s="14" t="s">
        <v>332</v>
      </c>
      <c r="CQ51" s="14" t="s">
        <v>43</v>
      </c>
      <c r="CR51" s="6" t="str">
        <f t="shared" si="40"/>
        <v>S3: Merlot Super Sparkle</v>
      </c>
      <c r="CT51" s="3" t="str">
        <f t="shared" si="41"/>
        <v>Wrap</v>
      </c>
      <c r="CU51" s="12" t="s">
        <v>15</v>
      </c>
      <c r="CV51" s="13" t="s">
        <v>339</v>
      </c>
      <c r="CW51" s="129" t="str">
        <f t="shared" si="42"/>
        <v>A3: Citrus Mod</v>
      </c>
      <c r="DJ51" s="12" t="s">
        <v>16</v>
      </c>
      <c r="DK51" s="12" t="s">
        <v>24</v>
      </c>
      <c r="DL51" s="12" t="s">
        <v>419</v>
      </c>
      <c r="DM51" s="14" t="s">
        <v>401</v>
      </c>
      <c r="DN51" s="129" t="s">
        <v>1330</v>
      </c>
      <c r="DR51" s="12" t="s">
        <v>17</v>
      </c>
      <c r="DS51" s="12" t="s">
        <v>24</v>
      </c>
      <c r="DT51" s="12" t="s">
        <v>419</v>
      </c>
      <c r="DU51" s="12" t="s">
        <v>398</v>
      </c>
      <c r="DV51" s="95"/>
      <c r="DX51" s="14" t="s">
        <v>55</v>
      </c>
      <c r="DY51" s="12" t="s">
        <v>62</v>
      </c>
      <c r="DZ51" s="73" t="s">
        <v>495</v>
      </c>
      <c r="EC51" s="14" t="s">
        <v>15</v>
      </c>
      <c r="ED51" s="12" t="s">
        <v>24</v>
      </c>
      <c r="EE51" s="12" t="s">
        <v>136</v>
      </c>
      <c r="EF51" s="129" t="s">
        <v>454</v>
      </c>
      <c r="FC51" s="14" t="s">
        <v>88</v>
      </c>
      <c r="FD51" s="14" t="s">
        <v>22</v>
      </c>
      <c r="FE51" s="129" t="s">
        <v>519</v>
      </c>
      <c r="GY51" s="12" t="s">
        <v>157</v>
      </c>
      <c r="GZ51" s="14" t="s">
        <v>22</v>
      </c>
      <c r="HA51" s="12" t="s">
        <v>417</v>
      </c>
      <c r="HB51" s="131" t="str">
        <f t="shared" si="33"/>
        <v>Vibraband w/Ludwig 9.5mm</v>
      </c>
      <c r="HC51" s="12"/>
      <c r="HD51" s="12"/>
      <c r="ID51" s="9" t="s">
        <v>1302</v>
      </c>
      <c r="IF51" s="9" t="s">
        <v>147</v>
      </c>
      <c r="IG51" s="110" t="str">
        <f t="shared" si="49"/>
        <v>LT893</v>
      </c>
      <c r="IH51" s="9" t="s">
        <v>751</v>
      </c>
      <c r="II51" s="9" t="s">
        <v>752</v>
      </c>
      <c r="IJ51" s="9" t="s">
        <v>753</v>
      </c>
      <c r="IK51" s="9" t="s">
        <v>754</v>
      </c>
      <c r="IN51" s="9" t="s">
        <v>52</v>
      </c>
      <c r="IO51" s="9" t="s">
        <v>576</v>
      </c>
      <c r="IP51" s="14" t="s">
        <v>24</v>
      </c>
      <c r="IQ51" s="108" t="s">
        <v>878</v>
      </c>
      <c r="IR51" s="108" t="s">
        <v>47</v>
      </c>
      <c r="KA51" s="144"/>
      <c r="KB51" s="144"/>
      <c r="KC51" s="144"/>
      <c r="KD51" s="144"/>
      <c r="KE51" s="144"/>
      <c r="KF51" s="144"/>
      <c r="KG51" s="144"/>
      <c r="KH51" s="144"/>
      <c r="KI51" s="144"/>
      <c r="KJ51" s="144"/>
      <c r="KK51" s="144"/>
      <c r="KL51" s="144"/>
      <c r="KM51" s="144"/>
    </row>
    <row r="52" spans="1:299" x14ac:dyDescent="0.3">
      <c r="A52" s="144"/>
      <c r="B52" s="74"/>
      <c r="C52" s="48"/>
      <c r="D52" s="48"/>
      <c r="E52" s="238" t="str">
        <f>IF(AND($BJ$22=1,$BK$22=1,G48=""),"WeatherMaster X-Thin on 12 &amp; 13 inch snares", "")</f>
        <v/>
      </c>
      <c r="F52" s="5"/>
      <c r="G52" s="48"/>
      <c r="H52" s="48"/>
      <c r="M52" s="17"/>
      <c r="CN52" s="15" t="s">
        <v>361</v>
      </c>
      <c r="CO52" s="92" t="s">
        <v>362</v>
      </c>
      <c r="CP52" s="14" t="s">
        <v>332</v>
      </c>
      <c r="CQ52" s="14" t="s">
        <v>43</v>
      </c>
      <c r="CR52" s="6" t="str">
        <f t="shared" si="40"/>
        <v>51: Mod Orange</v>
      </c>
      <c r="CT52" s="3" t="str">
        <f t="shared" si="41"/>
        <v>Wrap</v>
      </c>
      <c r="CU52" s="12" t="s">
        <v>16</v>
      </c>
      <c r="CV52" s="13" t="s">
        <v>339</v>
      </c>
      <c r="CW52" s="129" t="str">
        <f t="shared" si="42"/>
        <v>A3: Citrus Mod</v>
      </c>
      <c r="DJ52" s="12" t="s">
        <v>16</v>
      </c>
      <c r="DK52" s="12" t="s">
        <v>24</v>
      </c>
      <c r="DL52" s="12" t="s">
        <v>424</v>
      </c>
      <c r="DM52" s="14" t="s">
        <v>398</v>
      </c>
      <c r="DN52" s="129" t="s">
        <v>1271</v>
      </c>
      <c r="DR52" s="12" t="s">
        <v>17</v>
      </c>
      <c r="DS52" s="12" t="s">
        <v>24</v>
      </c>
      <c r="DT52" s="12" t="s">
        <v>421</v>
      </c>
      <c r="DU52" s="12" t="s">
        <v>398</v>
      </c>
      <c r="DV52" s="95"/>
      <c r="DX52" s="14" t="s">
        <v>55</v>
      </c>
      <c r="DY52" s="12" t="s">
        <v>64</v>
      </c>
      <c r="DZ52" s="73" t="s">
        <v>496</v>
      </c>
      <c r="EC52" s="14" t="s">
        <v>15</v>
      </c>
      <c r="ED52" s="12" t="s">
        <v>24</v>
      </c>
      <c r="EE52" s="12" t="s">
        <v>137</v>
      </c>
      <c r="EF52" s="129" t="s">
        <v>455</v>
      </c>
      <c r="FC52" s="14" t="s">
        <v>88</v>
      </c>
      <c r="FD52" s="14" t="s">
        <v>518</v>
      </c>
      <c r="FE52" s="129" t="s">
        <v>1337</v>
      </c>
      <c r="GY52" s="12" t="s">
        <v>157</v>
      </c>
      <c r="GZ52" s="14" t="s">
        <v>22</v>
      </c>
      <c r="HA52" s="12" t="s">
        <v>424</v>
      </c>
      <c r="HB52" s="131" t="str">
        <f t="shared" si="33"/>
        <v>Triad Bracket 12mm</v>
      </c>
      <c r="HC52" s="12"/>
      <c r="HD52" s="12"/>
      <c r="ID52" s="9" t="s">
        <v>1303</v>
      </c>
      <c r="IF52" s="9" t="s">
        <v>148</v>
      </c>
      <c r="IG52" s="110" t="str">
        <f t="shared" si="49"/>
        <v>LT803</v>
      </c>
      <c r="IH52" s="9" t="s">
        <v>755</v>
      </c>
      <c r="II52" s="9" t="s">
        <v>756</v>
      </c>
      <c r="IJ52" s="9" t="s">
        <v>757</v>
      </c>
      <c r="IK52" s="9" t="s">
        <v>758</v>
      </c>
      <c r="IN52" s="9" t="s">
        <v>52</v>
      </c>
      <c r="IO52" s="9" t="s">
        <v>570</v>
      </c>
      <c r="IP52" s="14" t="s">
        <v>26</v>
      </c>
      <c r="IQ52" s="108" t="s">
        <v>880</v>
      </c>
      <c r="IR52" s="108" t="s">
        <v>881</v>
      </c>
      <c r="KA52" s="144"/>
      <c r="KB52" s="144"/>
      <c r="KC52" s="144"/>
      <c r="KD52" s="144"/>
      <c r="KE52" s="144"/>
      <c r="KF52" s="144"/>
      <c r="KG52" s="144"/>
      <c r="KH52" s="144"/>
      <c r="KI52" s="144"/>
      <c r="KJ52" s="144"/>
      <c r="KK52" s="144"/>
      <c r="KL52" s="144"/>
      <c r="KM52" s="144"/>
    </row>
    <row r="53" spans="1:299" x14ac:dyDescent="0.3">
      <c r="A53" s="144"/>
      <c r="B53" s="7"/>
      <c r="C53" s="48"/>
      <c r="D53" s="48"/>
      <c r="E53" s="238" t="str">
        <f>IF(AND($BJ$22=1,$BK$22=1,G48=""),"Remo Amb Clear Snare on 14 inch snares", "")</f>
        <v/>
      </c>
      <c r="F53" s="5"/>
      <c r="G53" s="36"/>
      <c r="H53" s="48"/>
      <c r="M53" s="36"/>
      <c r="CN53" s="15" t="s">
        <v>363</v>
      </c>
      <c r="CO53" s="86" t="s">
        <v>364</v>
      </c>
      <c r="CP53" s="14" t="s">
        <v>332</v>
      </c>
      <c r="CQ53" s="14" t="s">
        <v>43</v>
      </c>
      <c r="CR53" s="6" t="str">
        <f t="shared" si="40"/>
        <v>86: Olive Oyster</v>
      </c>
      <c r="CT53" s="3" t="str">
        <f t="shared" si="41"/>
        <v>Wrap</v>
      </c>
      <c r="CU53" s="12" t="s">
        <v>17</v>
      </c>
      <c r="CV53" s="13" t="s">
        <v>339</v>
      </c>
      <c r="CW53" s="129" t="str">
        <f t="shared" si="42"/>
        <v>A3: Citrus Mod</v>
      </c>
      <c r="DJ53" s="12" t="s">
        <v>16</v>
      </c>
      <c r="DK53" s="12" t="s">
        <v>24</v>
      </c>
      <c r="DL53" s="12" t="s">
        <v>424</v>
      </c>
      <c r="DM53" s="14" t="s">
        <v>395</v>
      </c>
      <c r="DN53" s="129" t="s">
        <v>199</v>
      </c>
      <c r="DR53" s="12" t="s">
        <v>17</v>
      </c>
      <c r="DS53" s="12" t="s">
        <v>24</v>
      </c>
      <c r="DT53" s="12" t="s">
        <v>422</v>
      </c>
      <c r="DU53" s="12" t="s">
        <v>398</v>
      </c>
      <c r="DV53" s="95"/>
      <c r="DX53" s="14" t="s">
        <v>55</v>
      </c>
      <c r="DY53" s="12" t="s">
        <v>68</v>
      </c>
      <c r="DZ53" s="73" t="s">
        <v>497</v>
      </c>
      <c r="EC53" s="14" t="s">
        <v>15</v>
      </c>
      <c r="ED53" s="12" t="s">
        <v>24</v>
      </c>
      <c r="EE53" s="12" t="s">
        <v>138</v>
      </c>
      <c r="EF53" s="129" t="s">
        <v>456</v>
      </c>
      <c r="FC53" s="14" t="s">
        <v>88</v>
      </c>
      <c r="FD53" s="14" t="s">
        <v>16</v>
      </c>
      <c r="FE53" s="129" t="s">
        <v>1338</v>
      </c>
      <c r="GY53" s="12" t="s">
        <v>157</v>
      </c>
      <c r="GZ53" s="14" t="s">
        <v>22</v>
      </c>
      <c r="HA53" s="12" t="s">
        <v>418</v>
      </c>
      <c r="HB53" s="131" t="str">
        <f t="shared" si="33"/>
        <v>Vibraband w/Triad 12mm</v>
      </c>
      <c r="HC53" s="12"/>
      <c r="HD53" s="12"/>
      <c r="ID53" s="9" t="s">
        <v>1304</v>
      </c>
      <c r="IF53" s="9" t="s">
        <v>149</v>
      </c>
      <c r="IG53" s="110" t="str">
        <f t="shared" si="49"/>
        <v>LT813</v>
      </c>
      <c r="IH53" s="9" t="s">
        <v>759</v>
      </c>
      <c r="II53" s="9" t="s">
        <v>760</v>
      </c>
      <c r="IJ53" s="9" t="s">
        <v>761</v>
      </c>
      <c r="IK53" s="9" t="s">
        <v>762</v>
      </c>
      <c r="IN53" s="9" t="s">
        <v>52</v>
      </c>
      <c r="IO53" s="9" t="s">
        <v>572</v>
      </c>
      <c r="IP53" s="14" t="s">
        <v>26</v>
      </c>
      <c r="IQ53" s="108" t="s">
        <v>880</v>
      </c>
      <c r="IR53" s="108" t="s">
        <v>881</v>
      </c>
      <c r="KA53" s="144"/>
      <c r="KB53" s="144"/>
      <c r="KC53" s="144"/>
      <c r="KD53" s="144"/>
      <c r="KE53" s="144"/>
      <c r="KF53" s="144"/>
      <c r="KG53" s="144"/>
      <c r="KH53" s="144"/>
      <c r="KI53" s="144"/>
      <c r="KJ53" s="144"/>
      <c r="KK53" s="144"/>
      <c r="KL53" s="144"/>
      <c r="KM53" s="144"/>
    </row>
    <row r="54" spans="1:299" x14ac:dyDescent="0.3">
      <c r="A54" s="144"/>
      <c r="B54" s="7"/>
      <c r="C54" s="48"/>
      <c r="D54" s="48"/>
      <c r="E54" s="48"/>
      <c r="F54" s="5"/>
      <c r="G54" s="36"/>
      <c r="H54" s="48"/>
      <c r="M54" s="36"/>
      <c r="CN54" s="15" t="s">
        <v>367</v>
      </c>
      <c r="CO54" s="86" t="s">
        <v>368</v>
      </c>
      <c r="CP54" s="14" t="s">
        <v>332</v>
      </c>
      <c r="CQ54" s="14" t="s">
        <v>43</v>
      </c>
      <c r="CR54" s="6" t="str">
        <f t="shared" si="40"/>
        <v>27: Red Sparkle</v>
      </c>
      <c r="CT54" s="3" t="str">
        <f t="shared" si="41"/>
        <v>Wrap</v>
      </c>
      <c r="CU54" s="12" t="s">
        <v>19</v>
      </c>
      <c r="CV54" s="13" t="s">
        <v>339</v>
      </c>
      <c r="CW54" s="129" t="str">
        <f t="shared" si="42"/>
        <v>A3: Citrus Mod</v>
      </c>
      <c r="DJ54" s="12" t="s">
        <v>16</v>
      </c>
      <c r="DK54" s="12" t="s">
        <v>24</v>
      </c>
      <c r="DL54" s="12" t="s">
        <v>424</v>
      </c>
      <c r="DM54" s="14" t="s">
        <v>401</v>
      </c>
      <c r="DN54" s="129" t="s">
        <v>1330</v>
      </c>
      <c r="DR54" s="12" t="s">
        <v>17</v>
      </c>
      <c r="DS54" s="12" t="s">
        <v>24</v>
      </c>
      <c r="DT54" s="12" t="s">
        <v>423</v>
      </c>
      <c r="DU54" s="12" t="s">
        <v>398</v>
      </c>
      <c r="DV54" s="95"/>
      <c r="DX54" s="14" t="s">
        <v>55</v>
      </c>
      <c r="DY54" s="12" t="s">
        <v>67</v>
      </c>
      <c r="DZ54" s="12" t="s">
        <v>498</v>
      </c>
      <c r="EC54" s="14" t="s">
        <v>15</v>
      </c>
      <c r="ED54" s="12" t="s">
        <v>24</v>
      </c>
      <c r="EE54" s="12" t="s">
        <v>139</v>
      </c>
      <c r="EF54" s="129" t="s">
        <v>457</v>
      </c>
      <c r="FC54" s="14" t="s">
        <v>104</v>
      </c>
      <c r="FD54" s="14" t="s">
        <v>22</v>
      </c>
      <c r="FE54" s="129" t="s">
        <v>519</v>
      </c>
      <c r="GY54" s="12" t="s">
        <v>157</v>
      </c>
      <c r="GZ54" s="14" t="s">
        <v>22</v>
      </c>
      <c r="HA54" s="12" t="s">
        <v>425</v>
      </c>
      <c r="HB54" s="131" t="str">
        <f t="shared" si="33"/>
        <v>Atlas Mount 12mm</v>
      </c>
      <c r="HC54" s="12"/>
      <c r="HD54" s="12"/>
      <c r="ID54" s="9" t="s">
        <v>1305</v>
      </c>
      <c r="IF54" s="9" t="s">
        <v>150</v>
      </c>
      <c r="IG54" s="110" t="str">
        <f t="shared" si="49"/>
        <v>LT823</v>
      </c>
      <c r="IH54" s="9" t="s">
        <v>763</v>
      </c>
      <c r="II54" s="9" t="s">
        <v>764</v>
      </c>
      <c r="IJ54" s="9" t="s">
        <v>765</v>
      </c>
      <c r="IK54" s="9" t="s">
        <v>766</v>
      </c>
      <c r="IN54" s="9" t="s">
        <v>52</v>
      </c>
      <c r="IO54" s="9" t="s">
        <v>574</v>
      </c>
      <c r="IP54" s="14" t="s">
        <v>185</v>
      </c>
      <c r="IQ54" s="108" t="s">
        <v>880</v>
      </c>
      <c r="IR54" s="108" t="s">
        <v>881</v>
      </c>
      <c r="KA54" s="144"/>
      <c r="KB54" s="144"/>
      <c r="KC54" s="144"/>
      <c r="KD54" s="144"/>
      <c r="KE54" s="144"/>
      <c r="KF54" s="144"/>
      <c r="KG54" s="144"/>
      <c r="KH54" s="144"/>
      <c r="KI54" s="144"/>
      <c r="KJ54" s="144"/>
      <c r="KK54" s="144"/>
      <c r="KL54" s="144"/>
      <c r="KM54" s="144"/>
    </row>
    <row r="55" spans="1:299" x14ac:dyDescent="0.3">
      <c r="A55" s="144"/>
      <c r="B55" s="10"/>
      <c r="E55" s="48"/>
      <c r="F55" s="5"/>
      <c r="G55" s="71"/>
      <c r="H55" s="48"/>
      <c r="CN55" s="15" t="s">
        <v>369</v>
      </c>
      <c r="CO55" s="92" t="s">
        <v>370</v>
      </c>
      <c r="CP55" s="14" t="s">
        <v>332</v>
      </c>
      <c r="CQ55" s="14" t="s">
        <v>43</v>
      </c>
      <c r="CR55" s="6" t="str">
        <f t="shared" si="40"/>
        <v>61: Red Swirl</v>
      </c>
      <c r="CT55" s="3" t="str">
        <f t="shared" si="41"/>
        <v>Wrap</v>
      </c>
      <c r="CU55" s="12" t="s">
        <v>15</v>
      </c>
      <c r="CV55" s="13" t="s">
        <v>341</v>
      </c>
      <c r="CW55" s="129" t="str">
        <f t="shared" si="42"/>
        <v>87: Classic Olive Pearl</v>
      </c>
      <c r="DJ55" s="12" t="s">
        <v>16</v>
      </c>
      <c r="DK55" s="12" t="s">
        <v>24</v>
      </c>
      <c r="DL55" s="12" t="s">
        <v>425</v>
      </c>
      <c r="DM55" s="14" t="s">
        <v>397</v>
      </c>
      <c r="DN55" s="129" t="s">
        <v>1271</v>
      </c>
      <c r="DR55" s="12" t="s">
        <v>17</v>
      </c>
      <c r="DS55" s="12" t="s">
        <v>24</v>
      </c>
      <c r="DT55" s="12" t="s">
        <v>425</v>
      </c>
      <c r="DU55" s="12" t="s">
        <v>397</v>
      </c>
      <c r="DV55" s="95"/>
      <c r="DX55" s="14" t="s">
        <v>55</v>
      </c>
      <c r="DY55" s="12" t="s">
        <v>71</v>
      </c>
      <c r="DZ55" s="12" t="s">
        <v>499</v>
      </c>
      <c r="EC55" s="14" t="s">
        <v>15</v>
      </c>
      <c r="ED55" s="12" t="s">
        <v>24</v>
      </c>
      <c r="EE55" s="12" t="s">
        <v>140</v>
      </c>
      <c r="EF55" s="129" t="s">
        <v>458</v>
      </c>
      <c r="FC55" s="14" t="s">
        <v>104</v>
      </c>
      <c r="FD55" s="14" t="s">
        <v>518</v>
      </c>
      <c r="FE55" s="129" t="s">
        <v>1337</v>
      </c>
      <c r="GY55" s="12" t="s">
        <v>146</v>
      </c>
      <c r="GZ55" s="14" t="s">
        <v>518</v>
      </c>
      <c r="HA55" s="12" t="s">
        <v>413</v>
      </c>
      <c r="HB55" s="131" t="str">
        <f t="shared" si="33"/>
        <v>No Mounting Bracket</v>
      </c>
      <c r="HC55" s="12"/>
      <c r="HD55" s="12"/>
      <c r="ID55" s="9" t="s">
        <v>1306</v>
      </c>
      <c r="IF55" s="9" t="s">
        <v>151</v>
      </c>
      <c r="IG55" s="110" t="str">
        <f t="shared" si="49"/>
        <v>LT894</v>
      </c>
      <c r="IH55" s="9" t="s">
        <v>767</v>
      </c>
      <c r="II55" s="9" t="s">
        <v>768</v>
      </c>
      <c r="IJ55" s="9" t="s">
        <v>769</v>
      </c>
      <c r="IK55" s="9" t="s">
        <v>770</v>
      </c>
      <c r="IN55" s="9" t="s">
        <v>52</v>
      </c>
      <c r="IO55" s="9" t="s">
        <v>576</v>
      </c>
      <c r="IP55" s="14" t="s">
        <v>26</v>
      </c>
      <c r="IQ55" s="108" t="s">
        <v>880</v>
      </c>
      <c r="IR55" s="108" t="s">
        <v>881</v>
      </c>
      <c r="KA55" s="144"/>
      <c r="KB55" s="144"/>
      <c r="KC55" s="144"/>
      <c r="KD55" s="144"/>
      <c r="KE55" s="144"/>
      <c r="KF55" s="144"/>
      <c r="KG55" s="144"/>
      <c r="KH55" s="144"/>
      <c r="KI55" s="144"/>
      <c r="KJ55" s="144"/>
      <c r="KK55" s="144"/>
      <c r="KL55" s="144"/>
      <c r="KM55" s="144"/>
    </row>
    <row r="56" spans="1:299" x14ac:dyDescent="0.3">
      <c r="A56" s="144"/>
      <c r="B56" s="10"/>
      <c r="C56" s="212"/>
      <c r="E56" s="48"/>
      <c r="F56" s="5"/>
      <c r="G56" s="71"/>
      <c r="H56" s="48"/>
      <c r="CN56" s="15" t="s">
        <v>371</v>
      </c>
      <c r="CO56" s="92" t="s">
        <v>372</v>
      </c>
      <c r="CP56" s="14" t="s">
        <v>332</v>
      </c>
      <c r="CQ56" s="14" t="s">
        <v>43</v>
      </c>
      <c r="CR56" s="6" t="str">
        <f t="shared" si="40"/>
        <v>AG: Silver Silk</v>
      </c>
      <c r="CT56" s="3" t="str">
        <f t="shared" si="41"/>
        <v>Wrap</v>
      </c>
      <c r="CU56" s="12" t="s">
        <v>16</v>
      </c>
      <c r="CV56" s="13" t="s">
        <v>341</v>
      </c>
      <c r="CW56" s="129" t="str">
        <f t="shared" si="42"/>
        <v>87: Classic Olive Pearl</v>
      </c>
      <c r="DJ56" s="12" t="s">
        <v>16</v>
      </c>
      <c r="DK56" s="12" t="s">
        <v>24</v>
      </c>
      <c r="DL56" s="12" t="s">
        <v>425</v>
      </c>
      <c r="DM56" s="14" t="s">
        <v>394</v>
      </c>
      <c r="DN56" s="129" t="s">
        <v>199</v>
      </c>
      <c r="DR56" s="12" t="s">
        <v>15</v>
      </c>
      <c r="DS56" s="12" t="s">
        <v>24</v>
      </c>
      <c r="DT56" s="12" t="s">
        <v>424</v>
      </c>
      <c r="DU56" s="12" t="s">
        <v>401</v>
      </c>
      <c r="DV56" s="95"/>
      <c r="DX56" s="14" t="s">
        <v>55</v>
      </c>
      <c r="DY56" s="12" t="s">
        <v>74</v>
      </c>
      <c r="DZ56" s="12" t="s">
        <v>500</v>
      </c>
      <c r="EC56" s="14" t="s">
        <v>15</v>
      </c>
      <c r="ED56" s="12" t="s">
        <v>24</v>
      </c>
      <c r="EE56" s="12" t="s">
        <v>141</v>
      </c>
      <c r="EF56" s="129" t="s">
        <v>459</v>
      </c>
      <c r="FC56" s="14" t="s">
        <v>104</v>
      </c>
      <c r="FD56" s="14" t="s">
        <v>16</v>
      </c>
      <c r="FE56" s="129" t="s">
        <v>1338</v>
      </c>
      <c r="GY56" s="12" t="s">
        <v>146</v>
      </c>
      <c r="GZ56" s="14" t="s">
        <v>518</v>
      </c>
      <c r="HA56" s="12" t="s">
        <v>419</v>
      </c>
      <c r="HB56" s="131" t="str">
        <f t="shared" si="33"/>
        <v>Ludwig Classic 9.5mm</v>
      </c>
      <c r="HC56" s="12"/>
      <c r="HD56" s="12"/>
      <c r="ID56" s="9" t="s">
        <v>1294</v>
      </c>
      <c r="IF56" s="9" t="s">
        <v>157</v>
      </c>
      <c r="IG56" s="110" t="str">
        <f t="shared" si="49"/>
        <v>LT804</v>
      </c>
      <c r="IH56" s="9" t="s">
        <v>771</v>
      </c>
      <c r="II56" s="9" t="s">
        <v>772</v>
      </c>
      <c r="IJ56" s="9" t="s">
        <v>773</v>
      </c>
      <c r="IK56" s="9" t="s">
        <v>774</v>
      </c>
      <c r="IN56" s="9" t="s">
        <v>52</v>
      </c>
      <c r="IO56" s="9" t="s">
        <v>570</v>
      </c>
      <c r="IP56" s="14" t="s">
        <v>27</v>
      </c>
      <c r="IQ56" s="108" t="s">
        <v>880</v>
      </c>
      <c r="IR56" s="108" t="s">
        <v>882</v>
      </c>
      <c r="KA56" s="144"/>
      <c r="KB56" s="144"/>
      <c r="KC56" s="144"/>
      <c r="KD56" s="144"/>
      <c r="KE56" s="144"/>
      <c r="KF56" s="144"/>
      <c r="KG56" s="144"/>
      <c r="KH56" s="144"/>
      <c r="KI56" s="144"/>
      <c r="KJ56" s="144"/>
      <c r="KK56" s="144"/>
      <c r="KL56" s="144"/>
      <c r="KM56" s="144"/>
    </row>
    <row r="57" spans="1:299" x14ac:dyDescent="0.3">
      <c r="A57" s="144"/>
      <c r="B57" s="211"/>
      <c r="C57" s="178"/>
      <c r="D57" s="37"/>
      <c r="E57" s="5"/>
      <c r="F57" s="5"/>
      <c r="G57" s="71"/>
      <c r="H57" s="48"/>
      <c r="CN57" s="15" t="s">
        <v>373</v>
      </c>
      <c r="CO57" s="92" t="s">
        <v>374</v>
      </c>
      <c r="CP57" s="14" t="s">
        <v>332</v>
      </c>
      <c r="CQ57" s="14" t="s">
        <v>43</v>
      </c>
      <c r="CR57" s="6" t="str">
        <f t="shared" si="40"/>
        <v>0S: Silver Sparkle</v>
      </c>
      <c r="CT57" s="3" t="str">
        <f t="shared" si="41"/>
        <v>Wrap</v>
      </c>
      <c r="CU57" s="12" t="s">
        <v>17</v>
      </c>
      <c r="CV57" s="13" t="s">
        <v>341</v>
      </c>
      <c r="CW57" s="129" t="str">
        <f t="shared" si="42"/>
        <v>87: Classic Olive Pearl</v>
      </c>
      <c r="DJ57" s="12" t="s">
        <v>16</v>
      </c>
      <c r="DK57" s="12" t="s">
        <v>24</v>
      </c>
      <c r="DL57" s="12" t="s">
        <v>425</v>
      </c>
      <c r="DM57" s="14" t="s">
        <v>399</v>
      </c>
      <c r="DN57" s="129" t="s">
        <v>1330</v>
      </c>
      <c r="DR57" s="12" t="s">
        <v>16</v>
      </c>
      <c r="DS57" s="12" t="s">
        <v>24</v>
      </c>
      <c r="DT57" s="12" t="s">
        <v>424</v>
      </c>
      <c r="DU57" s="12" t="s">
        <v>398</v>
      </c>
      <c r="DV57" s="95"/>
      <c r="DX57" s="14" t="s">
        <v>55</v>
      </c>
      <c r="DY57" s="12" t="s">
        <v>77</v>
      </c>
      <c r="DZ57" s="12" t="s">
        <v>501</v>
      </c>
      <c r="EC57" s="14" t="s">
        <v>15</v>
      </c>
      <c r="ED57" s="12" t="s">
        <v>24</v>
      </c>
      <c r="EE57" s="12" t="s">
        <v>143</v>
      </c>
      <c r="EF57" s="129" t="s">
        <v>460</v>
      </c>
      <c r="FC57" s="14" t="s">
        <v>440</v>
      </c>
      <c r="FD57" s="14" t="s">
        <v>22</v>
      </c>
      <c r="FE57" s="129" t="s">
        <v>519</v>
      </c>
      <c r="GY57" s="12" t="s">
        <v>146</v>
      </c>
      <c r="GZ57" s="14" t="s">
        <v>518</v>
      </c>
      <c r="HA57" s="12" t="s">
        <v>417</v>
      </c>
      <c r="HB57" s="131" t="str">
        <f t="shared" si="33"/>
        <v>Vibraband w/Ludwig 9.5mm</v>
      </c>
      <c r="HC57" s="12"/>
      <c r="HD57" s="12"/>
      <c r="ID57" s="9" t="s">
        <v>1307</v>
      </c>
      <c r="IF57" s="9" t="s">
        <v>163</v>
      </c>
      <c r="IG57" s="110" t="str">
        <f t="shared" si="49"/>
        <v>LT814</v>
      </c>
      <c r="IH57" s="9" t="s">
        <v>775</v>
      </c>
      <c r="II57" s="9" t="s">
        <v>776</v>
      </c>
      <c r="IJ57" s="9" t="s">
        <v>777</v>
      </c>
      <c r="IK57" s="9" t="s">
        <v>778</v>
      </c>
      <c r="IN57" s="9" t="s">
        <v>52</v>
      </c>
      <c r="IO57" s="9" t="s">
        <v>572</v>
      </c>
      <c r="IP57" s="14" t="s">
        <v>27</v>
      </c>
      <c r="IQ57" s="108" t="s">
        <v>880</v>
      </c>
      <c r="IR57" s="108" t="s">
        <v>882</v>
      </c>
      <c r="KA57" s="144"/>
      <c r="KB57" s="144"/>
      <c r="KC57" s="144"/>
      <c r="KD57" s="144"/>
      <c r="KE57" s="144"/>
      <c r="KF57" s="144"/>
      <c r="KG57" s="144"/>
      <c r="KH57" s="144"/>
      <c r="KI57" s="144"/>
      <c r="KJ57" s="144"/>
      <c r="KK57" s="144"/>
      <c r="KL57" s="144"/>
      <c r="KM57" s="144"/>
    </row>
    <row r="58" spans="1:299" x14ac:dyDescent="0.3">
      <c r="A58" s="144"/>
      <c r="B58" s="211"/>
      <c r="C58" s="212"/>
      <c r="D58" s="64"/>
      <c r="H58" s="48"/>
      <c r="CN58" s="15" t="s">
        <v>375</v>
      </c>
      <c r="CO58" s="92" t="s">
        <v>376</v>
      </c>
      <c r="CP58" s="14" t="s">
        <v>332</v>
      </c>
      <c r="CQ58" s="14" t="s">
        <v>43</v>
      </c>
      <c r="CR58" s="6" t="str">
        <f t="shared" si="40"/>
        <v>52: Sky Blue Pearl</v>
      </c>
      <c r="CT58" s="3" t="str">
        <f t="shared" si="41"/>
        <v>Wrap</v>
      </c>
      <c r="CU58" s="12" t="s">
        <v>19</v>
      </c>
      <c r="CV58" s="13" t="s">
        <v>341</v>
      </c>
      <c r="CW58" s="129" t="str">
        <f t="shared" si="42"/>
        <v>87: Classic Olive Pearl</v>
      </c>
      <c r="DJ58" s="12" t="s">
        <v>17</v>
      </c>
      <c r="DK58" s="12" t="s">
        <v>66</v>
      </c>
      <c r="DL58" s="12" t="s">
        <v>413</v>
      </c>
      <c r="DM58" s="14" t="s">
        <v>397</v>
      </c>
      <c r="DN58" s="129" t="s">
        <v>1271</v>
      </c>
      <c r="DR58" s="12" t="s">
        <v>18</v>
      </c>
      <c r="DS58" s="12" t="s">
        <v>24</v>
      </c>
      <c r="DT58" s="12" t="s">
        <v>424</v>
      </c>
      <c r="DU58" s="12" t="s">
        <v>398</v>
      </c>
      <c r="DV58" s="95"/>
      <c r="DX58" s="14" t="s">
        <v>55</v>
      </c>
      <c r="DY58" s="12" t="s">
        <v>81</v>
      </c>
      <c r="DZ58" s="12" t="s">
        <v>502</v>
      </c>
      <c r="EC58" s="14" t="s">
        <v>15</v>
      </c>
      <c r="ED58" s="12" t="s">
        <v>24</v>
      </c>
      <c r="EE58" s="12" t="s">
        <v>144</v>
      </c>
      <c r="EF58" s="129" t="s">
        <v>461</v>
      </c>
      <c r="FC58" s="14" t="s">
        <v>440</v>
      </c>
      <c r="FD58" s="14" t="s">
        <v>518</v>
      </c>
      <c r="FE58" s="129" t="s">
        <v>1337</v>
      </c>
      <c r="GY58" s="12" t="s">
        <v>146</v>
      </c>
      <c r="GZ58" s="14" t="s">
        <v>518</v>
      </c>
      <c r="HA58" s="12" t="s">
        <v>424</v>
      </c>
      <c r="HB58" s="131" t="str">
        <f t="shared" si="33"/>
        <v>Triad Bracket 12mm</v>
      </c>
      <c r="HC58" s="12"/>
      <c r="HD58" s="12"/>
      <c r="ID58" s="9" t="s">
        <v>1290</v>
      </c>
      <c r="IF58" s="9" t="s">
        <v>169</v>
      </c>
      <c r="IG58" s="110" t="str">
        <f t="shared" si="49"/>
        <v>LT824</v>
      </c>
      <c r="IH58" s="9" t="s">
        <v>779</v>
      </c>
      <c r="II58" s="9" t="s">
        <v>780</v>
      </c>
      <c r="IJ58" s="9" t="s">
        <v>781</v>
      </c>
      <c r="IK58" s="9" t="s">
        <v>782</v>
      </c>
      <c r="IN58" s="9" t="s">
        <v>52</v>
      </c>
      <c r="IO58" s="9" t="s">
        <v>574</v>
      </c>
      <c r="IP58" s="14" t="s">
        <v>27</v>
      </c>
      <c r="IQ58" s="108" t="s">
        <v>880</v>
      </c>
      <c r="IR58" s="108" t="s">
        <v>882</v>
      </c>
      <c r="KA58" s="144"/>
      <c r="KB58" s="144"/>
      <c r="KC58" s="144"/>
      <c r="KD58" s="144"/>
      <c r="KE58" s="144"/>
      <c r="KF58" s="144"/>
      <c r="KG58" s="144"/>
      <c r="KH58" s="144"/>
      <c r="KI58" s="144"/>
      <c r="KJ58" s="144"/>
      <c r="KK58" s="144"/>
      <c r="KL58" s="144"/>
      <c r="KM58" s="144"/>
    </row>
    <row r="59" spans="1:299" x14ac:dyDescent="0.3">
      <c r="A59" s="144"/>
      <c r="B59" s="10"/>
      <c r="C59" s="178"/>
      <c r="H59" s="48"/>
      <c r="CN59" s="15" t="s">
        <v>1352</v>
      </c>
      <c r="CO59" s="92" t="s">
        <v>1353</v>
      </c>
      <c r="CP59" s="14" t="s">
        <v>332</v>
      </c>
      <c r="CQ59" s="14" t="s">
        <v>43</v>
      </c>
      <c r="CR59" s="6" t="str">
        <f t="shared" si="40"/>
        <v>A7: Steel Blue Pearl</v>
      </c>
      <c r="CT59" s="3" t="str">
        <f t="shared" si="41"/>
        <v>Wrap</v>
      </c>
      <c r="CU59" s="12" t="s">
        <v>15</v>
      </c>
      <c r="CV59" s="13" t="s">
        <v>344</v>
      </c>
      <c r="CW59" s="129" t="str">
        <f t="shared" si="42"/>
        <v>35: Customer Supply</v>
      </c>
      <c r="DJ59" s="12" t="s">
        <v>17</v>
      </c>
      <c r="DK59" s="12" t="s">
        <v>66</v>
      </c>
      <c r="DL59" s="12" t="s">
        <v>413</v>
      </c>
      <c r="DM59" s="14" t="s">
        <v>394</v>
      </c>
      <c r="DN59" s="129" t="s">
        <v>199</v>
      </c>
      <c r="DR59" s="12" t="s">
        <v>17</v>
      </c>
      <c r="DS59" s="12" t="s">
        <v>24</v>
      </c>
      <c r="DT59" s="12" t="s">
        <v>424</v>
      </c>
      <c r="DU59" s="12" t="s">
        <v>398</v>
      </c>
      <c r="DV59" s="95"/>
      <c r="DX59" s="14" t="s">
        <v>55</v>
      </c>
      <c r="DY59" s="12" t="s">
        <v>83</v>
      </c>
      <c r="DZ59" s="12" t="s">
        <v>503</v>
      </c>
      <c r="EC59" s="14" t="s">
        <v>15</v>
      </c>
      <c r="ED59" s="12" t="s">
        <v>24</v>
      </c>
      <c r="EE59" s="12" t="s">
        <v>146</v>
      </c>
      <c r="EF59" s="129" t="s">
        <v>462</v>
      </c>
      <c r="FC59" s="14" t="s">
        <v>440</v>
      </c>
      <c r="FD59" s="14" t="s">
        <v>16</v>
      </c>
      <c r="FE59" s="129" t="s">
        <v>1338</v>
      </c>
      <c r="GY59" s="12" t="s">
        <v>146</v>
      </c>
      <c r="GZ59" s="14" t="s">
        <v>518</v>
      </c>
      <c r="HA59" s="12" t="s">
        <v>418</v>
      </c>
      <c r="HB59" s="131" t="str">
        <f t="shared" si="33"/>
        <v>Vibraband w/Triad 12mm</v>
      </c>
      <c r="HC59" s="12"/>
      <c r="HD59" s="12"/>
      <c r="ID59" s="9" t="s">
        <v>1295</v>
      </c>
      <c r="IF59" s="9" t="s">
        <v>175</v>
      </c>
      <c r="IG59" s="110" t="str">
        <f t="shared" si="49"/>
        <v>LT834</v>
      </c>
      <c r="IH59" s="9" t="s">
        <v>783</v>
      </c>
      <c r="II59" s="9" t="s">
        <v>784</v>
      </c>
      <c r="IJ59" s="9" t="s">
        <v>785</v>
      </c>
      <c r="IK59" s="9" t="s">
        <v>786</v>
      </c>
      <c r="IN59" s="9" t="s">
        <v>52</v>
      </c>
      <c r="IO59" s="9" t="s">
        <v>576</v>
      </c>
      <c r="IP59" s="14" t="s">
        <v>27</v>
      </c>
      <c r="IQ59" s="108" t="s">
        <v>880</v>
      </c>
      <c r="IR59" s="108" t="s">
        <v>882</v>
      </c>
      <c r="KA59" s="144"/>
      <c r="KB59" s="144"/>
      <c r="KC59" s="144"/>
      <c r="KD59" s="144"/>
      <c r="KE59" s="144"/>
      <c r="KF59" s="144"/>
      <c r="KG59" s="144"/>
      <c r="KH59" s="144"/>
      <c r="KI59" s="144"/>
      <c r="KJ59" s="144"/>
      <c r="KK59" s="144"/>
      <c r="KL59" s="144"/>
      <c r="KM59" s="144"/>
    </row>
    <row r="60" spans="1:299" x14ac:dyDescent="0.3">
      <c r="A60" s="144"/>
      <c r="B60" s="211"/>
      <c r="C60" s="212"/>
      <c r="D60" s="64"/>
      <c r="E60" s="48"/>
      <c r="F60" s="5"/>
      <c r="G60" s="71"/>
      <c r="H60" s="48"/>
      <c r="CN60" s="15" t="s">
        <v>282</v>
      </c>
      <c r="CO60" s="92" t="s">
        <v>1354</v>
      </c>
      <c r="CP60" s="14" t="s">
        <v>332</v>
      </c>
      <c r="CQ60" s="14" t="s">
        <v>43</v>
      </c>
      <c r="CR60" s="6" t="str">
        <f t="shared" si="40"/>
        <v>S1: Titanium Super Sparkle</v>
      </c>
      <c r="CT60" s="3" t="str">
        <f t="shared" si="41"/>
        <v>Wrap</v>
      </c>
      <c r="CU60" s="12" t="s">
        <v>16</v>
      </c>
      <c r="CV60" s="13" t="s">
        <v>344</v>
      </c>
      <c r="CW60" s="129" t="str">
        <f t="shared" si="42"/>
        <v>35: Customer Supply</v>
      </c>
      <c r="DJ60" s="12" t="s">
        <v>17</v>
      </c>
      <c r="DK60" s="12" t="s">
        <v>66</v>
      </c>
      <c r="DL60" s="12" t="s">
        <v>413</v>
      </c>
      <c r="DM60" s="14" t="s">
        <v>399</v>
      </c>
      <c r="DN60" s="129" t="s">
        <v>1330</v>
      </c>
      <c r="DR60" s="12" t="s">
        <v>15</v>
      </c>
      <c r="DS60" s="12" t="s">
        <v>24</v>
      </c>
      <c r="DT60" s="12" t="s">
        <v>418</v>
      </c>
      <c r="DU60" s="12" t="s">
        <v>399</v>
      </c>
      <c r="DV60" s="95"/>
      <c r="DX60" s="14" t="s">
        <v>55</v>
      </c>
      <c r="DY60" s="12" t="s">
        <v>85</v>
      </c>
      <c r="DZ60" s="12" t="s">
        <v>504</v>
      </c>
      <c r="EC60" s="14" t="s">
        <v>15</v>
      </c>
      <c r="ED60" s="12" t="s">
        <v>24</v>
      </c>
      <c r="EE60" s="12" t="s">
        <v>147</v>
      </c>
      <c r="EF60" s="129" t="s">
        <v>463</v>
      </c>
      <c r="FC60" s="14" t="s">
        <v>64</v>
      </c>
      <c r="FD60" s="14" t="s">
        <v>22</v>
      </c>
      <c r="FE60" s="129" t="s">
        <v>519</v>
      </c>
      <c r="GY60" s="12" t="s">
        <v>146</v>
      </c>
      <c r="GZ60" s="14" t="s">
        <v>518</v>
      </c>
      <c r="HA60" s="12" t="s">
        <v>425</v>
      </c>
      <c r="HB60" s="131" t="str">
        <f t="shared" si="33"/>
        <v>Atlas Mount 12mm</v>
      </c>
      <c r="HC60" s="12"/>
      <c r="HD60" s="12"/>
      <c r="ID60" s="9" t="s">
        <v>1291</v>
      </c>
      <c r="IF60" s="9" t="s">
        <v>176</v>
      </c>
      <c r="IG60" s="110" t="str">
        <f t="shared" si="49"/>
        <v>LT844</v>
      </c>
      <c r="IH60" s="9" t="s">
        <v>787</v>
      </c>
      <c r="II60" s="9" t="s">
        <v>788</v>
      </c>
      <c r="IJ60" s="9" t="s">
        <v>789</v>
      </c>
      <c r="IK60" s="9" t="s">
        <v>790</v>
      </c>
      <c r="IN60" s="9" t="s">
        <v>52</v>
      </c>
      <c r="IO60" s="9" t="s">
        <v>570</v>
      </c>
      <c r="IP60" s="14" t="s">
        <v>25</v>
      </c>
      <c r="IQ60" s="108" t="s">
        <v>880</v>
      </c>
      <c r="IR60" s="108" t="s">
        <v>887</v>
      </c>
      <c r="KA60" s="144"/>
      <c r="KB60" s="144"/>
      <c r="KC60" s="144"/>
      <c r="KD60" s="144"/>
      <c r="KE60" s="144"/>
      <c r="KF60" s="144"/>
      <c r="KG60" s="144"/>
      <c r="KH60" s="144"/>
      <c r="KI60" s="144"/>
      <c r="KJ60" s="144"/>
      <c r="KK60" s="144"/>
      <c r="KL60" s="144"/>
      <c r="KM60" s="144"/>
    </row>
    <row r="61" spans="1:299" x14ac:dyDescent="0.3">
      <c r="A61" s="144"/>
      <c r="B61" s="211"/>
      <c r="C61" s="212"/>
      <c r="D61" s="64"/>
      <c r="E61" s="48"/>
      <c r="F61" s="5"/>
      <c r="G61" s="71"/>
      <c r="H61" s="48"/>
      <c r="CN61" s="15" t="s">
        <v>378</v>
      </c>
      <c r="CO61" s="92" t="s">
        <v>379</v>
      </c>
      <c r="CP61" s="14" t="s">
        <v>332</v>
      </c>
      <c r="CQ61" s="14" t="s">
        <v>43</v>
      </c>
      <c r="CR61" s="6" t="str">
        <f t="shared" si="40"/>
        <v>1Q: Vintage Black Oyster</v>
      </c>
      <c r="CT61" s="3" t="str">
        <f t="shared" si="41"/>
        <v>Wrap</v>
      </c>
      <c r="CU61" s="12" t="s">
        <v>17</v>
      </c>
      <c r="CV61" s="13" t="s">
        <v>344</v>
      </c>
      <c r="CW61" s="129" t="str">
        <f t="shared" si="42"/>
        <v>35: Customer Supply</v>
      </c>
      <c r="DJ61" s="12" t="s">
        <v>17</v>
      </c>
      <c r="DK61" s="12" t="s">
        <v>73</v>
      </c>
      <c r="DL61" s="12" t="s">
        <v>413</v>
      </c>
      <c r="DM61" s="14" t="s">
        <v>397</v>
      </c>
      <c r="DN61" s="129" t="s">
        <v>1271</v>
      </c>
      <c r="DR61" s="12" t="s">
        <v>16</v>
      </c>
      <c r="DS61" s="12" t="s">
        <v>24</v>
      </c>
      <c r="DT61" s="12" t="s">
        <v>418</v>
      </c>
      <c r="DU61" s="12" t="s">
        <v>397</v>
      </c>
      <c r="DV61" s="95"/>
      <c r="DX61" s="14" t="s">
        <v>55</v>
      </c>
      <c r="DY61" s="12" t="s">
        <v>88</v>
      </c>
      <c r="DZ61" s="12" t="s">
        <v>505</v>
      </c>
      <c r="EC61" s="14" t="s">
        <v>15</v>
      </c>
      <c r="ED61" s="12" t="s">
        <v>24</v>
      </c>
      <c r="EE61" s="12" t="s">
        <v>148</v>
      </c>
      <c r="EF61" s="129" t="s">
        <v>464</v>
      </c>
      <c r="FC61" s="14" t="s">
        <v>64</v>
      </c>
      <c r="FD61" s="14" t="s">
        <v>518</v>
      </c>
      <c r="FE61" s="129" t="s">
        <v>1337</v>
      </c>
      <c r="GY61" s="12" t="s">
        <v>146</v>
      </c>
      <c r="GZ61" s="14" t="s">
        <v>16</v>
      </c>
      <c r="HA61" s="12" t="s">
        <v>413</v>
      </c>
      <c r="HB61" s="131" t="str">
        <f t="shared" si="33"/>
        <v>No Mounting Bracket</v>
      </c>
      <c r="HC61" s="12"/>
      <c r="HD61" s="12"/>
      <c r="ID61" s="9" t="s">
        <v>1308</v>
      </c>
      <c r="IF61" s="9" t="s">
        <v>178</v>
      </c>
      <c r="IG61" s="110" t="str">
        <f t="shared" si="49"/>
        <v>LT825</v>
      </c>
      <c r="IH61" s="9" t="s">
        <v>791</v>
      </c>
      <c r="II61" s="9" t="s">
        <v>792</v>
      </c>
      <c r="IJ61" s="9" t="s">
        <v>793</v>
      </c>
      <c r="IK61" s="9" t="s">
        <v>794</v>
      </c>
      <c r="IN61" s="9" t="s">
        <v>52</v>
      </c>
      <c r="IO61" s="9" t="s">
        <v>572</v>
      </c>
      <c r="IP61" s="14" t="s">
        <v>25</v>
      </c>
      <c r="IQ61" s="108" t="s">
        <v>880</v>
      </c>
      <c r="IR61" s="108" t="s">
        <v>887</v>
      </c>
      <c r="KA61" s="144"/>
      <c r="KB61" s="144"/>
      <c r="KC61" s="144"/>
      <c r="KD61" s="144"/>
      <c r="KE61" s="144"/>
      <c r="KF61" s="144"/>
      <c r="KG61" s="144"/>
      <c r="KH61" s="144"/>
      <c r="KI61" s="144"/>
      <c r="KJ61" s="144"/>
      <c r="KK61" s="144"/>
      <c r="KL61" s="144"/>
      <c r="KM61" s="144"/>
    </row>
    <row r="62" spans="1:299" x14ac:dyDescent="0.3">
      <c r="B62" s="10"/>
      <c r="C62" s="178"/>
      <c r="E62" s="48"/>
      <c r="F62" s="5"/>
      <c r="G62" s="71"/>
      <c r="H62" s="1"/>
      <c r="CN62" s="15" t="s">
        <v>380</v>
      </c>
      <c r="CO62" s="92" t="s">
        <v>381</v>
      </c>
      <c r="CP62" s="14" t="s">
        <v>332</v>
      </c>
      <c r="CQ62" s="14" t="s">
        <v>43</v>
      </c>
      <c r="CR62" s="6" t="str">
        <f t="shared" si="40"/>
        <v>2Q: Vintage Blue Oyster</v>
      </c>
      <c r="CT62" s="3" t="str">
        <f t="shared" si="41"/>
        <v>Wrap</v>
      </c>
      <c r="CU62" s="12" t="s">
        <v>19</v>
      </c>
      <c r="CV62" s="13" t="s">
        <v>344</v>
      </c>
      <c r="CW62" s="129" t="str">
        <f t="shared" si="42"/>
        <v>35: Customer Supply</v>
      </c>
      <c r="DJ62" s="12" t="s">
        <v>17</v>
      </c>
      <c r="DK62" s="12" t="s">
        <v>73</v>
      </c>
      <c r="DL62" s="12" t="s">
        <v>413</v>
      </c>
      <c r="DM62" s="14" t="s">
        <v>394</v>
      </c>
      <c r="DN62" s="129" t="s">
        <v>199</v>
      </c>
      <c r="DR62" s="12" t="s">
        <v>18</v>
      </c>
      <c r="DS62" s="12" t="s">
        <v>24</v>
      </c>
      <c r="DT62" s="12" t="s">
        <v>418</v>
      </c>
      <c r="DU62" s="12" t="s">
        <v>397</v>
      </c>
      <c r="DV62" s="95"/>
      <c r="DX62" s="14" t="s">
        <v>55</v>
      </c>
      <c r="DY62" s="12" t="s">
        <v>90</v>
      </c>
      <c r="DZ62" s="12" t="s">
        <v>506</v>
      </c>
      <c r="EC62" s="14" t="s">
        <v>15</v>
      </c>
      <c r="ED62" s="12" t="s">
        <v>24</v>
      </c>
      <c r="EE62" s="12" t="s">
        <v>149</v>
      </c>
      <c r="EF62" s="129" t="s">
        <v>465</v>
      </c>
      <c r="FC62" s="14" t="s">
        <v>64</v>
      </c>
      <c r="FD62" s="14" t="s">
        <v>16</v>
      </c>
      <c r="FE62" s="129" t="s">
        <v>1338</v>
      </c>
      <c r="GY62" s="12" t="s">
        <v>146</v>
      </c>
      <c r="GZ62" s="14" t="s">
        <v>16</v>
      </c>
      <c r="HA62" s="12" t="s">
        <v>419</v>
      </c>
      <c r="HB62" s="131" t="str">
        <f t="shared" si="33"/>
        <v>Ludwig Classic 9.5mm</v>
      </c>
      <c r="HC62" s="12"/>
      <c r="HD62" s="12"/>
      <c r="ID62" s="9" t="s">
        <v>344</v>
      </c>
      <c r="IF62" s="9" t="s">
        <v>179</v>
      </c>
      <c r="IG62" s="110" t="str">
        <f t="shared" si="49"/>
        <v>LT835</v>
      </c>
      <c r="IH62" s="9" t="s">
        <v>795</v>
      </c>
      <c r="II62" s="9" t="s">
        <v>796</v>
      </c>
      <c r="IJ62" s="9" t="s">
        <v>797</v>
      </c>
      <c r="IK62" s="9" t="s">
        <v>798</v>
      </c>
      <c r="IN62" s="9" t="s">
        <v>52</v>
      </c>
      <c r="IO62" s="9" t="s">
        <v>576</v>
      </c>
      <c r="IP62" s="14" t="s">
        <v>25</v>
      </c>
      <c r="IQ62" s="108" t="s">
        <v>880</v>
      </c>
      <c r="IR62" s="108" t="s">
        <v>887</v>
      </c>
    </row>
    <row r="63" spans="1:299" x14ac:dyDescent="0.3">
      <c r="B63" s="10"/>
      <c r="C63" s="212"/>
      <c r="E63" s="5"/>
      <c r="F63" s="5"/>
      <c r="G63" s="71"/>
      <c r="H63" s="1"/>
      <c r="CN63" s="15" t="s">
        <v>365</v>
      </c>
      <c r="CO63" s="92" t="s">
        <v>366</v>
      </c>
      <c r="CP63" s="14" t="s">
        <v>332</v>
      </c>
      <c r="CQ63" s="14" t="s">
        <v>43</v>
      </c>
      <c r="CR63" s="6" t="str">
        <f t="shared" si="40"/>
        <v>VP: Vintage Pink Oyster</v>
      </c>
      <c r="CT63" s="3" t="str">
        <f t="shared" si="41"/>
        <v>Sprayed</v>
      </c>
      <c r="CU63" s="12" t="s">
        <v>15</v>
      </c>
      <c r="CV63" s="13" t="s">
        <v>298</v>
      </c>
      <c r="CW63" s="129" t="str">
        <f t="shared" si="42"/>
        <v>DR: Diablo Red</v>
      </c>
      <c r="DJ63" s="12" t="s">
        <v>17</v>
      </c>
      <c r="DK63" s="12" t="s">
        <v>73</v>
      </c>
      <c r="DL63" s="12" t="s">
        <v>413</v>
      </c>
      <c r="DM63" s="14" t="s">
        <v>399</v>
      </c>
      <c r="DN63" s="129" t="s">
        <v>1330</v>
      </c>
      <c r="DR63" s="12" t="s">
        <v>17</v>
      </c>
      <c r="DS63" s="12" t="s">
        <v>24</v>
      </c>
      <c r="DT63" s="12" t="s">
        <v>418</v>
      </c>
      <c r="DU63" s="12" t="s">
        <v>397</v>
      </c>
      <c r="DV63" s="95"/>
      <c r="DX63" s="14" t="s">
        <v>55</v>
      </c>
      <c r="DY63" s="12" t="s">
        <v>93</v>
      </c>
      <c r="DZ63" s="12" t="s">
        <v>507</v>
      </c>
      <c r="EC63" s="14" t="s">
        <v>15</v>
      </c>
      <c r="ED63" s="12" t="s">
        <v>24</v>
      </c>
      <c r="EE63" s="12" t="s">
        <v>150</v>
      </c>
      <c r="EF63" s="129" t="s">
        <v>466</v>
      </c>
      <c r="FC63" s="14" t="s">
        <v>77</v>
      </c>
      <c r="FD63" s="14" t="s">
        <v>22</v>
      </c>
      <c r="FE63" s="129" t="s">
        <v>519</v>
      </c>
      <c r="GY63" s="12" t="s">
        <v>146</v>
      </c>
      <c r="GZ63" s="14" t="s">
        <v>16</v>
      </c>
      <c r="HA63" s="12" t="s">
        <v>417</v>
      </c>
      <c r="HB63" s="131" t="str">
        <f t="shared" si="33"/>
        <v>Vibraband w/Ludwig 9.5mm</v>
      </c>
      <c r="HC63" s="12"/>
      <c r="HD63" s="12"/>
      <c r="ID63" s="9" t="s">
        <v>923</v>
      </c>
      <c r="IF63" s="9" t="s">
        <v>180</v>
      </c>
      <c r="IG63" s="110" t="str">
        <f t="shared" si="49"/>
        <v>LT845</v>
      </c>
      <c r="IH63" s="9" t="s">
        <v>799</v>
      </c>
      <c r="II63" s="9" t="s">
        <v>800</v>
      </c>
      <c r="IJ63" s="9" t="s">
        <v>801</v>
      </c>
      <c r="IK63" s="9" t="s">
        <v>802</v>
      </c>
      <c r="IN63" s="9" t="s">
        <v>52</v>
      </c>
      <c r="IO63" s="9" t="s">
        <v>570</v>
      </c>
      <c r="IP63" s="14" t="s">
        <v>22</v>
      </c>
      <c r="IQ63" s="108" t="s">
        <v>880</v>
      </c>
      <c r="IR63" s="108" t="s">
        <v>883</v>
      </c>
    </row>
    <row r="64" spans="1:299" x14ac:dyDescent="0.3">
      <c r="B64" s="211"/>
      <c r="C64" s="212"/>
      <c r="D64" s="64"/>
      <c r="E64" s="45"/>
      <c r="F64" s="19"/>
      <c r="G64" s="49"/>
      <c r="H64" s="1"/>
      <c r="CN64" s="15" t="s">
        <v>382</v>
      </c>
      <c r="CO64" s="92" t="s">
        <v>383</v>
      </c>
      <c r="CP64" s="14" t="s">
        <v>332</v>
      </c>
      <c r="CQ64" s="14" t="s">
        <v>43</v>
      </c>
      <c r="CR64" s="6" t="str">
        <f t="shared" si="40"/>
        <v>NM: Vintage White Marine</v>
      </c>
      <c r="CT64" s="3" t="str">
        <f t="shared" si="41"/>
        <v>Sprayed</v>
      </c>
      <c r="CU64" s="12" t="s">
        <v>16</v>
      </c>
      <c r="CV64" s="13" t="s">
        <v>298</v>
      </c>
      <c r="CW64" s="129" t="str">
        <f t="shared" si="42"/>
        <v>DR: Diablo Red</v>
      </c>
      <c r="DJ64" s="12" t="s">
        <v>17</v>
      </c>
      <c r="DK64" s="12" t="s">
        <v>52</v>
      </c>
      <c r="DL64" s="12" t="s">
        <v>413</v>
      </c>
      <c r="DM64" s="14" t="s">
        <v>397</v>
      </c>
      <c r="DN64" s="129" t="s">
        <v>1271</v>
      </c>
      <c r="DR64" s="16" t="s">
        <v>19</v>
      </c>
      <c r="DS64" s="12" t="s">
        <v>66</v>
      </c>
      <c r="DT64" s="12" t="s">
        <v>413</v>
      </c>
      <c r="DU64" s="16" t="s">
        <v>403</v>
      </c>
      <c r="DV64" s="95"/>
      <c r="DX64" s="14" t="s">
        <v>55</v>
      </c>
      <c r="DY64" s="12" t="s">
        <v>95</v>
      </c>
      <c r="DZ64" s="12" t="s">
        <v>508</v>
      </c>
      <c r="EC64" s="14" t="s">
        <v>15</v>
      </c>
      <c r="ED64" s="12" t="s">
        <v>24</v>
      </c>
      <c r="EE64" s="12" t="s">
        <v>151</v>
      </c>
      <c r="EF64" s="129" t="s">
        <v>467</v>
      </c>
      <c r="FC64" s="14" t="s">
        <v>77</v>
      </c>
      <c r="FD64" s="14" t="s">
        <v>518</v>
      </c>
      <c r="FE64" s="129" t="s">
        <v>1337</v>
      </c>
      <c r="GY64" s="12" t="s">
        <v>146</v>
      </c>
      <c r="GZ64" s="14" t="s">
        <v>16</v>
      </c>
      <c r="HA64" s="12" t="s">
        <v>424</v>
      </c>
      <c r="HB64" s="131" t="str">
        <f t="shared" si="33"/>
        <v>Triad Bracket 12mm</v>
      </c>
      <c r="HC64" s="12"/>
      <c r="HD64" s="12"/>
      <c r="ID64" s="9" t="s">
        <v>922</v>
      </c>
      <c r="IF64" s="9" t="s">
        <v>181</v>
      </c>
      <c r="IG64" s="110" t="str">
        <f t="shared" si="49"/>
        <v>LT836</v>
      </c>
      <c r="IH64" s="9" t="s">
        <v>803</v>
      </c>
      <c r="II64" s="9" t="s">
        <v>804</v>
      </c>
      <c r="IJ64" s="9" t="s">
        <v>805</v>
      </c>
      <c r="IK64" s="9" t="e">
        <v>#N/A</v>
      </c>
      <c r="IN64" s="9" t="s">
        <v>52</v>
      </c>
      <c r="IO64" s="9" t="s">
        <v>572</v>
      </c>
      <c r="IP64" s="14" t="s">
        <v>22</v>
      </c>
      <c r="IQ64" s="108" t="s">
        <v>880</v>
      </c>
      <c r="IR64" s="108" t="s">
        <v>883</v>
      </c>
    </row>
    <row r="65" spans="2:252" x14ac:dyDescent="0.3">
      <c r="B65" s="211"/>
      <c r="C65" s="212"/>
      <c r="D65" s="64"/>
      <c r="E65" s="5"/>
      <c r="F65" s="5"/>
      <c r="G65" s="49"/>
      <c r="H65" s="1"/>
      <c r="CN65" s="14" t="s">
        <v>384</v>
      </c>
      <c r="CO65" s="86" t="s">
        <v>385</v>
      </c>
      <c r="CP65" s="14" t="s">
        <v>332</v>
      </c>
      <c r="CQ65" s="14" t="s">
        <v>43</v>
      </c>
      <c r="CR65" s="6" t="str">
        <f t="shared" si="40"/>
        <v>0F: White Cortex</v>
      </c>
      <c r="CT65" s="3" t="str">
        <f t="shared" si="41"/>
        <v>Wrap</v>
      </c>
      <c r="CU65" s="12" t="s">
        <v>15</v>
      </c>
      <c r="CV65" s="13" t="s">
        <v>346</v>
      </c>
      <c r="CW65" s="129" t="str">
        <f t="shared" si="42"/>
        <v>A5: Digital Blk Sprkl</v>
      </c>
      <c r="DJ65" s="12" t="s">
        <v>17</v>
      </c>
      <c r="DK65" s="12" t="s">
        <v>52</v>
      </c>
      <c r="DL65" s="12" t="s">
        <v>413</v>
      </c>
      <c r="DM65" s="14" t="s">
        <v>394</v>
      </c>
      <c r="DN65" s="129" t="s">
        <v>199</v>
      </c>
      <c r="DR65" s="16" t="s">
        <v>19</v>
      </c>
      <c r="DS65" s="12" t="s">
        <v>73</v>
      </c>
      <c r="DT65" s="12" t="s">
        <v>413</v>
      </c>
      <c r="DU65" s="16" t="s">
        <v>403</v>
      </c>
      <c r="DV65" s="95"/>
      <c r="DX65" s="14" t="s">
        <v>55</v>
      </c>
      <c r="DY65" s="12" t="s">
        <v>100</v>
      </c>
      <c r="DZ65" s="12" t="s">
        <v>509</v>
      </c>
      <c r="EC65" s="14" t="s">
        <v>15</v>
      </c>
      <c r="ED65" s="12" t="s">
        <v>24</v>
      </c>
      <c r="EE65" s="12" t="s">
        <v>157</v>
      </c>
      <c r="EF65" s="129" t="s">
        <v>468</v>
      </c>
      <c r="FC65" s="14" t="s">
        <v>77</v>
      </c>
      <c r="FD65" s="14" t="s">
        <v>16</v>
      </c>
      <c r="FE65" s="129" t="s">
        <v>1338</v>
      </c>
      <c r="GY65" s="12" t="s">
        <v>146</v>
      </c>
      <c r="GZ65" s="14" t="s">
        <v>16</v>
      </c>
      <c r="HA65" s="12" t="s">
        <v>418</v>
      </c>
      <c r="HB65" s="131" t="str">
        <f t="shared" si="33"/>
        <v>Vibraband w/Triad 12mm</v>
      </c>
      <c r="HC65" s="12"/>
      <c r="HD65" s="12"/>
      <c r="ID65" s="9" t="s">
        <v>924</v>
      </c>
      <c r="IF65" s="9" t="s">
        <v>182</v>
      </c>
      <c r="IG65" s="110" t="str">
        <f t="shared" si="49"/>
        <v>LT846</v>
      </c>
      <c r="IH65" s="9" t="s">
        <v>806</v>
      </c>
      <c r="II65" s="9" t="s">
        <v>807</v>
      </c>
      <c r="IJ65" s="9" t="s">
        <v>808</v>
      </c>
      <c r="IK65" s="9" t="s">
        <v>809</v>
      </c>
      <c r="IN65" s="9" t="s">
        <v>52</v>
      </c>
      <c r="IO65" s="9" t="s">
        <v>576</v>
      </c>
      <c r="IP65" s="14" t="s">
        <v>22</v>
      </c>
      <c r="IQ65" s="108" t="s">
        <v>880</v>
      </c>
      <c r="IR65" s="108" t="s">
        <v>883</v>
      </c>
    </row>
    <row r="66" spans="2:252" x14ac:dyDescent="0.3">
      <c r="B66" s="10"/>
      <c r="C66" s="178"/>
      <c r="E66" s="45"/>
      <c r="F66" s="45"/>
      <c r="G66" s="49"/>
      <c r="H66" s="1"/>
      <c r="CN66" s="14" t="s">
        <v>387</v>
      </c>
      <c r="CO66" s="86" t="s">
        <v>388</v>
      </c>
      <c r="CP66" s="14" t="s">
        <v>332</v>
      </c>
      <c r="CQ66" s="14" t="s">
        <v>43</v>
      </c>
      <c r="CR66" s="6" t="str">
        <f t="shared" si="40"/>
        <v>0P: White Marine Pearl</v>
      </c>
      <c r="CT66" s="3" t="str">
        <f t="shared" si="41"/>
        <v>Wrap</v>
      </c>
      <c r="CU66" s="12" t="s">
        <v>16</v>
      </c>
      <c r="CV66" s="13" t="s">
        <v>346</v>
      </c>
      <c r="CW66" s="129" t="str">
        <f t="shared" si="42"/>
        <v>A5: Digital Blk Sprkl</v>
      </c>
      <c r="DJ66" s="12" t="s">
        <v>17</v>
      </c>
      <c r="DK66" s="12" t="s">
        <v>52</v>
      </c>
      <c r="DL66" s="12" t="s">
        <v>413</v>
      </c>
      <c r="DM66" s="14" t="s">
        <v>399</v>
      </c>
      <c r="DN66" s="129" t="s">
        <v>1330</v>
      </c>
      <c r="DR66" s="16" t="s">
        <v>19</v>
      </c>
      <c r="DS66" s="12" t="s">
        <v>52</v>
      </c>
      <c r="DT66" s="12" t="s">
        <v>413</v>
      </c>
      <c r="DU66" s="16" t="s">
        <v>403</v>
      </c>
      <c r="DV66" s="95"/>
      <c r="DX66" s="14" t="s">
        <v>55</v>
      </c>
      <c r="DY66" s="12" t="s">
        <v>104</v>
      </c>
      <c r="DZ66" s="12" t="s">
        <v>510</v>
      </c>
      <c r="EC66" s="14" t="s">
        <v>15</v>
      </c>
      <c r="ED66" s="12" t="s">
        <v>24</v>
      </c>
      <c r="EE66" s="12" t="s">
        <v>163</v>
      </c>
      <c r="EF66" s="129" t="s">
        <v>469</v>
      </c>
      <c r="FC66" s="14" t="s">
        <v>90</v>
      </c>
      <c r="FD66" s="14" t="s">
        <v>22</v>
      </c>
      <c r="FE66" s="129" t="s">
        <v>519</v>
      </c>
      <c r="GY66" s="12" t="s">
        <v>146</v>
      </c>
      <c r="GZ66" s="14" t="s">
        <v>22</v>
      </c>
      <c r="HA66" s="12" t="s">
        <v>413</v>
      </c>
      <c r="HB66" s="131" t="str">
        <f t="shared" si="33"/>
        <v>No Mounting Bracket</v>
      </c>
      <c r="HC66" s="12"/>
      <c r="HD66" s="12"/>
      <c r="ID66" s="9" t="s">
        <v>1296</v>
      </c>
      <c r="IF66" s="9" t="s">
        <v>183</v>
      </c>
      <c r="IG66" s="110" t="str">
        <f t="shared" si="49"/>
        <v>LT856</v>
      </c>
      <c r="IH66" s="9" t="s">
        <v>810</v>
      </c>
      <c r="II66" s="9" t="s">
        <v>811</v>
      </c>
      <c r="IJ66" s="9" t="s">
        <v>812</v>
      </c>
      <c r="IK66" s="9" t="e">
        <v>#N/A</v>
      </c>
      <c r="IN66" s="9" t="s">
        <v>52</v>
      </c>
      <c r="IO66" s="9" t="s">
        <v>570</v>
      </c>
      <c r="IP66" s="14" t="s">
        <v>24</v>
      </c>
      <c r="IQ66" s="108" t="s">
        <v>880</v>
      </c>
      <c r="IR66" s="108" t="s">
        <v>881</v>
      </c>
    </row>
    <row r="67" spans="2:252" x14ac:dyDescent="0.3">
      <c r="B67" s="211"/>
      <c r="C67" s="212"/>
      <c r="D67" s="64"/>
      <c r="E67" s="45"/>
      <c r="F67" s="5"/>
      <c r="G67" s="71"/>
      <c r="H67" s="1"/>
      <c r="CN67" s="15"/>
      <c r="CO67" s="92"/>
      <c r="CP67" s="14"/>
      <c r="CQ67" s="14"/>
      <c r="CT67" s="3" t="str">
        <f t="shared" si="41"/>
        <v>Wrap</v>
      </c>
      <c r="CU67" s="12" t="s">
        <v>17</v>
      </c>
      <c r="CV67" s="13" t="s">
        <v>346</v>
      </c>
      <c r="CW67" s="129" t="str">
        <f t="shared" si="42"/>
        <v>A5: Digital Blk Sprkl</v>
      </c>
      <c r="DJ67" s="12" t="s">
        <v>17</v>
      </c>
      <c r="DK67" s="12" t="s">
        <v>24</v>
      </c>
      <c r="DL67" s="12" t="s">
        <v>417</v>
      </c>
      <c r="DM67" s="14" t="s">
        <v>397</v>
      </c>
      <c r="DN67" s="129" t="s">
        <v>1271</v>
      </c>
      <c r="DR67" s="16" t="s">
        <v>19</v>
      </c>
      <c r="DS67" s="12" t="s">
        <v>429</v>
      </c>
      <c r="DT67" s="12" t="s">
        <v>413</v>
      </c>
      <c r="DU67" s="16" t="s">
        <v>403</v>
      </c>
      <c r="DV67" s="95"/>
      <c r="DX67" s="14" t="s">
        <v>55</v>
      </c>
      <c r="DY67" s="12" t="s">
        <v>439</v>
      </c>
      <c r="DZ67" s="12" t="s">
        <v>511</v>
      </c>
      <c r="EC67" s="14" t="s">
        <v>15</v>
      </c>
      <c r="ED67" s="12" t="s">
        <v>24</v>
      </c>
      <c r="EE67" s="12" t="s">
        <v>169</v>
      </c>
      <c r="EF67" s="129" t="s">
        <v>470</v>
      </c>
      <c r="FC67" s="14" t="s">
        <v>90</v>
      </c>
      <c r="FD67" s="14" t="s">
        <v>518</v>
      </c>
      <c r="FE67" s="129" t="s">
        <v>1337</v>
      </c>
      <c r="GY67" s="12" t="s">
        <v>146</v>
      </c>
      <c r="GZ67" s="14" t="s">
        <v>22</v>
      </c>
      <c r="HA67" s="12" t="s">
        <v>419</v>
      </c>
      <c r="HB67" s="131" t="str">
        <f t="shared" si="33"/>
        <v>Ludwig Classic 9.5mm</v>
      </c>
      <c r="HC67" s="12"/>
      <c r="HD67" s="12"/>
      <c r="ID67" s="9" t="s">
        <v>926</v>
      </c>
      <c r="IF67" s="9" t="s">
        <v>184</v>
      </c>
      <c r="IG67" s="110" t="str">
        <f t="shared" si="49"/>
        <v>LT866</v>
      </c>
      <c r="IH67" s="9" t="s">
        <v>813</v>
      </c>
      <c r="II67" s="9" t="s">
        <v>814</v>
      </c>
      <c r="IJ67" s="9" t="s">
        <v>815</v>
      </c>
      <c r="IK67" s="9" t="s">
        <v>816</v>
      </c>
      <c r="IN67" s="9" t="s">
        <v>52</v>
      </c>
      <c r="IO67" s="9" t="s">
        <v>572</v>
      </c>
      <c r="IP67" s="14" t="s">
        <v>24</v>
      </c>
      <c r="IQ67" s="108" t="s">
        <v>880</v>
      </c>
      <c r="IR67" s="108" t="s">
        <v>881</v>
      </c>
    </row>
    <row r="68" spans="2:252" x14ac:dyDescent="0.3">
      <c r="B68" s="10"/>
      <c r="C68" s="212"/>
      <c r="E68" s="45"/>
      <c r="F68" s="45"/>
      <c r="G68" s="49"/>
      <c r="H68" s="3"/>
      <c r="CN68" s="15"/>
      <c r="CO68" s="92"/>
      <c r="CP68" s="14"/>
      <c r="CQ68" s="14"/>
      <c r="CT68" s="3" t="str">
        <f t="shared" ref="CT68:CT99" si="50">VLOOKUP(CV68,CN$4:CQ$68,3,FALSE)</f>
        <v>Wrap</v>
      </c>
      <c r="CU68" s="12" t="s">
        <v>19</v>
      </c>
      <c r="CV68" s="13" t="s">
        <v>346</v>
      </c>
      <c r="CW68" s="129" t="str">
        <f t="shared" ref="CW68:CW99" si="51">VLOOKUP(CV68,$CN$4:$CR$68,5,FALSE)</f>
        <v>A5: Digital Blk Sprkl</v>
      </c>
      <c r="DJ68" s="12" t="s">
        <v>17</v>
      </c>
      <c r="DK68" s="12" t="s">
        <v>24</v>
      </c>
      <c r="DL68" s="12" t="s">
        <v>417</v>
      </c>
      <c r="DM68" s="14" t="s">
        <v>394</v>
      </c>
      <c r="DN68" s="129" t="s">
        <v>199</v>
      </c>
      <c r="DR68" s="16" t="s">
        <v>19</v>
      </c>
      <c r="DS68" s="12" t="s">
        <v>24</v>
      </c>
      <c r="DT68" s="12" t="s">
        <v>413</v>
      </c>
      <c r="DU68" s="16" t="s">
        <v>403</v>
      </c>
      <c r="DV68" s="95"/>
      <c r="DX68" s="14" t="s">
        <v>55</v>
      </c>
      <c r="DY68" s="12" t="s">
        <v>440</v>
      </c>
      <c r="DZ68" s="12" t="s">
        <v>512</v>
      </c>
      <c r="EC68" s="14" t="s">
        <v>15</v>
      </c>
      <c r="ED68" s="12" t="s">
        <v>24</v>
      </c>
      <c r="EE68" s="12" t="s">
        <v>175</v>
      </c>
      <c r="EF68" s="129" t="s">
        <v>471</v>
      </c>
      <c r="FC68" s="14" t="s">
        <v>90</v>
      </c>
      <c r="FD68" s="14" t="s">
        <v>16</v>
      </c>
      <c r="FE68" s="129" t="s">
        <v>1338</v>
      </c>
      <c r="GY68" s="12" t="s">
        <v>146</v>
      </c>
      <c r="GZ68" s="14" t="s">
        <v>22</v>
      </c>
      <c r="HA68" s="12" t="s">
        <v>417</v>
      </c>
      <c r="HB68" s="131" t="str">
        <f t="shared" si="33"/>
        <v>Vibraband w/Ludwig 9.5mm</v>
      </c>
      <c r="HC68" s="12"/>
      <c r="HD68" s="12"/>
      <c r="ID68" s="9" t="s">
        <v>927</v>
      </c>
      <c r="IF68" s="9" t="s">
        <v>205</v>
      </c>
      <c r="IG68" s="110" t="str">
        <f t="shared" si="49"/>
        <v>LT868</v>
      </c>
      <c r="IH68" s="9" t="e">
        <v>#N/A</v>
      </c>
      <c r="II68" s="9" t="e">
        <v>#N/A</v>
      </c>
      <c r="IJ68" s="9" t="e">
        <v>#N/A</v>
      </c>
      <c r="IK68" s="9" t="e">
        <v>#N/A</v>
      </c>
      <c r="IN68" s="9" t="s">
        <v>52</v>
      </c>
      <c r="IO68" s="9" t="s">
        <v>576</v>
      </c>
      <c r="IP68" s="14" t="s">
        <v>24</v>
      </c>
      <c r="IQ68" s="108" t="s">
        <v>880</v>
      </c>
      <c r="IR68" s="108" t="s">
        <v>881</v>
      </c>
    </row>
    <row r="69" spans="2:252" x14ac:dyDescent="0.3">
      <c r="B69" s="10"/>
      <c r="C69" s="212"/>
      <c r="E69" s="45"/>
      <c r="F69" s="45"/>
      <c r="G69" s="49"/>
      <c r="H69" s="3"/>
      <c r="CP69" s="26"/>
      <c r="CT69" s="3" t="str">
        <f t="shared" si="50"/>
        <v>Wrap</v>
      </c>
      <c r="CU69" s="12" t="s">
        <v>15</v>
      </c>
      <c r="CV69" s="141" t="s">
        <v>1884</v>
      </c>
      <c r="CW69" s="129" t="str">
        <f t="shared" si="51"/>
        <v>A8: Ebony Pearl</v>
      </c>
      <c r="DJ69" s="12" t="s">
        <v>17</v>
      </c>
      <c r="DK69" s="12" t="s">
        <v>24</v>
      </c>
      <c r="DL69" s="12" t="s">
        <v>417</v>
      </c>
      <c r="DM69" s="14" t="s">
        <v>399</v>
      </c>
      <c r="DN69" s="129" t="s">
        <v>1330</v>
      </c>
      <c r="DR69" s="16" t="s">
        <v>19</v>
      </c>
      <c r="DS69" s="12" t="s">
        <v>24</v>
      </c>
      <c r="DT69" s="12" t="s">
        <v>415</v>
      </c>
      <c r="DU69" s="16" t="s">
        <v>403</v>
      </c>
      <c r="DV69" s="95"/>
      <c r="DX69" s="14" t="s">
        <v>76</v>
      </c>
      <c r="DY69" s="12" t="s">
        <v>186</v>
      </c>
      <c r="DZ69" s="12" t="s">
        <v>65</v>
      </c>
      <c r="EC69" s="14" t="s">
        <v>15</v>
      </c>
      <c r="ED69" s="12" t="s">
        <v>24</v>
      </c>
      <c r="EE69" s="12" t="s">
        <v>176</v>
      </c>
      <c r="EF69" s="129" t="s">
        <v>472</v>
      </c>
      <c r="FC69" s="14" t="s">
        <v>68</v>
      </c>
      <c r="FD69" s="14" t="s">
        <v>22</v>
      </c>
      <c r="FE69" s="129" t="s">
        <v>519</v>
      </c>
      <c r="GY69" s="12" t="s">
        <v>146</v>
      </c>
      <c r="GZ69" s="14" t="s">
        <v>22</v>
      </c>
      <c r="HA69" s="12" t="s">
        <v>424</v>
      </c>
      <c r="HB69" s="131" t="str">
        <f t="shared" si="33"/>
        <v>Triad Bracket 12mm</v>
      </c>
      <c r="HC69" s="12"/>
      <c r="HD69" s="12"/>
      <c r="IF69" s="9"/>
      <c r="IG69" s="9"/>
      <c r="IH69" s="9"/>
      <c r="II69" s="9"/>
      <c r="IJ69" s="9"/>
      <c r="IK69" s="9"/>
      <c r="IN69" s="9"/>
      <c r="IO69" s="9"/>
      <c r="IQ69" s="9"/>
    </row>
    <row r="70" spans="2:252" x14ac:dyDescent="0.3">
      <c r="B70" s="10"/>
      <c r="C70" s="178"/>
      <c r="E70" s="20"/>
      <c r="F70" s="20"/>
      <c r="G70" s="52"/>
      <c r="H70" s="3"/>
      <c r="CT70" s="3" t="str">
        <f t="shared" si="50"/>
        <v>Wrap</v>
      </c>
      <c r="CU70" s="12" t="s">
        <v>16</v>
      </c>
      <c r="CV70" s="141" t="s">
        <v>1884</v>
      </c>
      <c r="CW70" s="129" t="str">
        <f t="shared" si="51"/>
        <v>A8: Ebony Pearl</v>
      </c>
      <c r="DJ70" s="12" t="s">
        <v>17</v>
      </c>
      <c r="DK70" s="12" t="s">
        <v>24</v>
      </c>
      <c r="DL70" s="12" t="s">
        <v>418</v>
      </c>
      <c r="DM70" s="14" t="s">
        <v>397</v>
      </c>
      <c r="DN70" s="129" t="s">
        <v>1271</v>
      </c>
      <c r="DR70" s="16" t="s">
        <v>19</v>
      </c>
      <c r="DS70" s="12" t="s">
        <v>24</v>
      </c>
      <c r="DT70" s="12" t="s">
        <v>417</v>
      </c>
      <c r="DU70" s="16" t="s">
        <v>403</v>
      </c>
      <c r="DV70" s="95"/>
      <c r="DX70" s="14" t="s">
        <v>76</v>
      </c>
      <c r="DY70" s="12" t="s">
        <v>187</v>
      </c>
      <c r="DZ70" s="12" t="s">
        <v>69</v>
      </c>
      <c r="EC70" s="14" t="s">
        <v>15</v>
      </c>
      <c r="ED70" s="12" t="s">
        <v>24</v>
      </c>
      <c r="EE70" s="12" t="s">
        <v>178</v>
      </c>
      <c r="EF70" s="129" t="s">
        <v>473</v>
      </c>
      <c r="FC70" s="14" t="s">
        <v>68</v>
      </c>
      <c r="FD70" s="14" t="s">
        <v>518</v>
      </c>
      <c r="FE70" s="129" t="s">
        <v>1337</v>
      </c>
      <c r="GY70" s="12" t="s">
        <v>146</v>
      </c>
      <c r="GZ70" s="14" t="s">
        <v>22</v>
      </c>
      <c r="HA70" s="12" t="s">
        <v>418</v>
      </c>
      <c r="HB70" s="131" t="str">
        <f t="shared" si="33"/>
        <v>Vibraband w/Triad 12mm</v>
      </c>
      <c r="HC70" s="12"/>
      <c r="HD70" s="12"/>
      <c r="IF70" s="9" t="s">
        <v>186</v>
      </c>
      <c r="IG70" s="9" t="s">
        <v>817</v>
      </c>
      <c r="IH70" s="9" t="s">
        <v>818</v>
      </c>
      <c r="II70" s="9" t="s">
        <v>819</v>
      </c>
      <c r="IJ70" s="9" t="s">
        <v>820</v>
      </c>
      <c r="IK70" s="9" t="s">
        <v>821</v>
      </c>
    </row>
    <row r="71" spans="2:252" x14ac:dyDescent="0.3">
      <c r="B71" s="10"/>
      <c r="C71" s="212"/>
      <c r="E71" s="20"/>
      <c r="F71" s="20"/>
      <c r="G71" s="20"/>
      <c r="H71" s="3"/>
      <c r="CT71" s="3" t="str">
        <f t="shared" si="50"/>
        <v>Wrap</v>
      </c>
      <c r="CU71" s="12" t="s">
        <v>17</v>
      </c>
      <c r="CV71" s="141" t="s">
        <v>1884</v>
      </c>
      <c r="CW71" s="129" t="str">
        <f t="shared" si="51"/>
        <v>A8: Ebony Pearl</v>
      </c>
      <c r="DJ71" s="12" t="s">
        <v>17</v>
      </c>
      <c r="DK71" s="12" t="s">
        <v>24</v>
      </c>
      <c r="DL71" s="12" t="s">
        <v>418</v>
      </c>
      <c r="DM71" s="14" t="s">
        <v>394</v>
      </c>
      <c r="DN71" s="129" t="s">
        <v>199</v>
      </c>
      <c r="DR71" s="16" t="s">
        <v>19</v>
      </c>
      <c r="DS71" s="12" t="s">
        <v>24</v>
      </c>
      <c r="DT71" s="12" t="s">
        <v>416</v>
      </c>
      <c r="DU71" s="16" t="s">
        <v>403</v>
      </c>
      <c r="DV71" s="95"/>
      <c r="DX71" s="14" t="s">
        <v>76</v>
      </c>
      <c r="DY71" s="12" t="s">
        <v>189</v>
      </c>
      <c r="DZ71" s="12" t="s">
        <v>72</v>
      </c>
      <c r="EC71" s="14" t="s">
        <v>15</v>
      </c>
      <c r="ED71" s="12" t="s">
        <v>24</v>
      </c>
      <c r="EE71" s="12" t="s">
        <v>179</v>
      </c>
      <c r="EF71" s="129" t="s">
        <v>474</v>
      </c>
      <c r="FC71" s="14" t="s">
        <v>81</v>
      </c>
      <c r="FD71" s="14" t="s">
        <v>22</v>
      </c>
      <c r="FE71" s="129" t="s">
        <v>519</v>
      </c>
      <c r="GY71" s="12" t="s">
        <v>146</v>
      </c>
      <c r="GZ71" s="14" t="s">
        <v>22</v>
      </c>
      <c r="HA71" s="12" t="s">
        <v>425</v>
      </c>
      <c r="HB71" s="131" t="str">
        <f t="shared" si="33"/>
        <v>Atlas Mount 12mm</v>
      </c>
      <c r="HC71" s="12"/>
      <c r="HD71" s="12"/>
      <c r="IF71" s="9" t="s">
        <v>187</v>
      </c>
      <c r="IG71" s="9" t="s">
        <v>822</v>
      </c>
      <c r="IH71" s="9" t="e">
        <v>#N/A</v>
      </c>
      <c r="II71" s="9" t="e">
        <v>#N/A</v>
      </c>
      <c r="IJ71" s="9" t="e">
        <v>#N/A</v>
      </c>
      <c r="IK71" s="9" t="s">
        <v>823</v>
      </c>
    </row>
    <row r="72" spans="2:252" x14ac:dyDescent="0.3">
      <c r="B72" s="10"/>
      <c r="C72" s="212"/>
      <c r="E72" s="3"/>
      <c r="F72" s="3"/>
      <c r="G72" s="3"/>
      <c r="CT72" s="3" t="str">
        <f t="shared" si="50"/>
        <v>Wrap</v>
      </c>
      <c r="CU72" s="12" t="s">
        <v>19</v>
      </c>
      <c r="CV72" s="141" t="s">
        <v>1884</v>
      </c>
      <c r="CW72" s="129" t="str">
        <f t="shared" si="51"/>
        <v>A8: Ebony Pearl</v>
      </c>
      <c r="DJ72" s="12" t="s">
        <v>17</v>
      </c>
      <c r="DK72" s="12" t="s">
        <v>24</v>
      </c>
      <c r="DL72" s="12" t="s">
        <v>418</v>
      </c>
      <c r="DM72" s="14" t="s">
        <v>399</v>
      </c>
      <c r="DN72" s="129" t="s">
        <v>1330</v>
      </c>
      <c r="DR72" s="16" t="s">
        <v>19</v>
      </c>
      <c r="DS72" s="12" t="s">
        <v>24</v>
      </c>
      <c r="DT72" s="12" t="s">
        <v>419</v>
      </c>
      <c r="DU72" s="16" t="s">
        <v>404</v>
      </c>
      <c r="DV72" s="95"/>
      <c r="DX72" s="14" t="s">
        <v>76</v>
      </c>
      <c r="DY72" s="12" t="s">
        <v>191</v>
      </c>
      <c r="DZ72" s="12" t="s">
        <v>80</v>
      </c>
      <c r="EC72" s="14" t="s">
        <v>15</v>
      </c>
      <c r="ED72" s="12" t="s">
        <v>24</v>
      </c>
      <c r="EE72" s="12" t="s">
        <v>180</v>
      </c>
      <c r="EF72" s="129" t="s">
        <v>475</v>
      </c>
      <c r="FC72" s="14" t="s">
        <v>81</v>
      </c>
      <c r="FD72" s="14" t="s">
        <v>518</v>
      </c>
      <c r="FE72" s="129" t="s">
        <v>1337</v>
      </c>
      <c r="GY72" s="12" t="s">
        <v>149</v>
      </c>
      <c r="GZ72" s="14" t="s">
        <v>518</v>
      </c>
      <c r="HA72" s="12" t="s">
        <v>413</v>
      </c>
      <c r="HB72" s="131" t="str">
        <f t="shared" si="33"/>
        <v>No Mounting Bracket</v>
      </c>
      <c r="HC72" s="12"/>
      <c r="HD72" s="12"/>
      <c r="IF72" s="9" t="s">
        <v>189</v>
      </c>
      <c r="IG72" s="9" t="s">
        <v>824</v>
      </c>
      <c r="IH72" s="9" t="s">
        <v>825</v>
      </c>
      <c r="II72" s="9" t="s">
        <v>826</v>
      </c>
      <c r="IJ72" s="9" t="s">
        <v>827</v>
      </c>
      <c r="IK72" s="9" t="s">
        <v>828</v>
      </c>
    </row>
    <row r="73" spans="2:252" x14ac:dyDescent="0.3">
      <c r="B73" s="10"/>
      <c r="C73" s="178"/>
      <c r="E73" s="3"/>
      <c r="F73" s="3"/>
      <c r="G73" s="3"/>
      <c r="CT73" s="3" t="str">
        <f t="shared" si="50"/>
        <v>Wrap</v>
      </c>
      <c r="CU73" s="12" t="s">
        <v>15</v>
      </c>
      <c r="CV73" s="13" t="s">
        <v>350</v>
      </c>
      <c r="CW73" s="129" t="str">
        <f t="shared" si="51"/>
        <v>GL: Glacier Blue</v>
      </c>
      <c r="DJ73" s="12" t="s">
        <v>17</v>
      </c>
      <c r="DK73" s="12" t="s">
        <v>24</v>
      </c>
      <c r="DL73" s="12" t="s">
        <v>413</v>
      </c>
      <c r="DM73" s="14" t="s">
        <v>397</v>
      </c>
      <c r="DN73" s="129" t="s">
        <v>1271</v>
      </c>
      <c r="DR73" s="16" t="s">
        <v>19</v>
      </c>
      <c r="DS73" s="12" t="s">
        <v>24</v>
      </c>
      <c r="DT73" s="12" t="s">
        <v>421</v>
      </c>
      <c r="DU73" s="16" t="s">
        <v>404</v>
      </c>
      <c r="DV73" s="95"/>
      <c r="DX73" s="14" t="s">
        <v>76</v>
      </c>
      <c r="DY73" s="12" t="s">
        <v>196</v>
      </c>
      <c r="DZ73" s="12" t="s">
        <v>89</v>
      </c>
      <c r="EC73" s="14" t="s">
        <v>15</v>
      </c>
      <c r="ED73" s="12" t="s">
        <v>24</v>
      </c>
      <c r="EE73" s="12" t="s">
        <v>182</v>
      </c>
      <c r="EF73" s="129" t="s">
        <v>477</v>
      </c>
      <c r="FC73" s="14" t="s">
        <v>93</v>
      </c>
      <c r="FD73" s="14" t="s">
        <v>22</v>
      </c>
      <c r="FE73" s="129" t="s">
        <v>519</v>
      </c>
      <c r="GY73" s="12" t="s">
        <v>149</v>
      </c>
      <c r="GZ73" s="14" t="s">
        <v>518</v>
      </c>
      <c r="HA73" s="12" t="s">
        <v>419</v>
      </c>
      <c r="HB73" s="131" t="str">
        <f t="shared" si="33"/>
        <v>Ludwig Classic 9.5mm</v>
      </c>
      <c r="HC73" s="12"/>
      <c r="HD73" s="12"/>
      <c r="IF73" s="9" t="s">
        <v>190</v>
      </c>
      <c r="IG73" s="9" t="s">
        <v>829</v>
      </c>
      <c r="IH73" s="9" t="s">
        <v>830</v>
      </c>
      <c r="II73" s="9" t="s">
        <v>831</v>
      </c>
      <c r="IJ73" s="9" t="s">
        <v>832</v>
      </c>
      <c r="IK73" s="9" t="s">
        <v>833</v>
      </c>
    </row>
    <row r="74" spans="2:252" x14ac:dyDescent="0.3">
      <c r="B74" s="10"/>
      <c r="C74" s="212"/>
      <c r="CT74" s="3" t="str">
        <f t="shared" si="50"/>
        <v>Wrap</v>
      </c>
      <c r="CU74" s="12" t="s">
        <v>16</v>
      </c>
      <c r="CV74" s="13" t="s">
        <v>350</v>
      </c>
      <c r="CW74" s="129" t="str">
        <f t="shared" si="51"/>
        <v>GL: Glacier Blue</v>
      </c>
      <c r="DJ74" s="12" t="s">
        <v>17</v>
      </c>
      <c r="DK74" s="12" t="s">
        <v>24</v>
      </c>
      <c r="DL74" s="12" t="s">
        <v>413</v>
      </c>
      <c r="DM74" s="14" t="s">
        <v>394</v>
      </c>
      <c r="DN74" s="129" t="s">
        <v>199</v>
      </c>
      <c r="DR74" s="16" t="s">
        <v>19</v>
      </c>
      <c r="DS74" s="12" t="s">
        <v>24</v>
      </c>
      <c r="DT74" s="12" t="s">
        <v>422</v>
      </c>
      <c r="DU74" s="16" t="s">
        <v>404</v>
      </c>
      <c r="DV74" s="95"/>
      <c r="DX74" s="14" t="s">
        <v>76</v>
      </c>
      <c r="DY74" s="12" t="s">
        <v>197</v>
      </c>
      <c r="DZ74" s="12" t="s">
        <v>61</v>
      </c>
      <c r="EC74" s="14" t="s">
        <v>15</v>
      </c>
      <c r="ED74" s="12" t="s">
        <v>24</v>
      </c>
      <c r="EE74" s="12" t="s">
        <v>184</v>
      </c>
      <c r="EF74" s="129" t="s">
        <v>479</v>
      </c>
      <c r="FC74" s="14" t="s">
        <v>93</v>
      </c>
      <c r="FD74" s="14" t="s">
        <v>518</v>
      </c>
      <c r="FE74" s="129" t="s">
        <v>1337</v>
      </c>
      <c r="GY74" s="12" t="s">
        <v>149</v>
      </c>
      <c r="GZ74" s="14" t="s">
        <v>518</v>
      </c>
      <c r="HA74" s="12" t="s">
        <v>417</v>
      </c>
      <c r="HB74" s="131" t="str">
        <f t="shared" ref="HB74:HB137" si="52">INDEX($GV$3:$GV$12,MATCH(HA74,$GU$3:$GU$12,0))</f>
        <v>Vibraband w/Ludwig 9.5mm</v>
      </c>
      <c r="HC74" s="12"/>
      <c r="HD74" s="12"/>
      <c r="IF74" s="9" t="s">
        <v>191</v>
      </c>
      <c r="IG74" s="9" t="s">
        <v>834</v>
      </c>
      <c r="IH74" s="9" t="s">
        <v>835</v>
      </c>
      <c r="II74" s="9" t="s">
        <v>836</v>
      </c>
      <c r="IJ74" s="9" t="s">
        <v>837</v>
      </c>
      <c r="IK74" s="9" t="s">
        <v>838</v>
      </c>
    </row>
    <row r="75" spans="2:252" x14ac:dyDescent="0.3">
      <c r="B75" s="10"/>
      <c r="C75" s="212"/>
      <c r="CT75" s="3" t="str">
        <f t="shared" si="50"/>
        <v>Wrap</v>
      </c>
      <c r="CU75" s="12" t="s">
        <v>17</v>
      </c>
      <c r="CV75" s="13" t="s">
        <v>350</v>
      </c>
      <c r="CW75" s="129" t="str">
        <f t="shared" si="51"/>
        <v>GL: Glacier Blue</v>
      </c>
      <c r="DJ75" s="12" t="s">
        <v>17</v>
      </c>
      <c r="DK75" s="12" t="s">
        <v>24</v>
      </c>
      <c r="DL75" s="12" t="s">
        <v>413</v>
      </c>
      <c r="DM75" s="14" t="s">
        <v>399</v>
      </c>
      <c r="DN75" s="129" t="s">
        <v>1330</v>
      </c>
      <c r="DR75" s="16" t="s">
        <v>19</v>
      </c>
      <c r="DS75" s="12" t="s">
        <v>24</v>
      </c>
      <c r="DT75" s="12" t="s">
        <v>423</v>
      </c>
      <c r="DU75" s="16" t="s">
        <v>404</v>
      </c>
      <c r="DV75" s="95"/>
      <c r="DX75" s="14" t="s">
        <v>76</v>
      </c>
      <c r="DY75" s="12" t="s">
        <v>193</v>
      </c>
      <c r="DZ75" s="12" t="s">
        <v>82</v>
      </c>
      <c r="EC75" s="14" t="s">
        <v>15</v>
      </c>
      <c r="ED75" s="12" t="s">
        <v>24</v>
      </c>
      <c r="EE75" s="12" t="s">
        <v>205</v>
      </c>
      <c r="EF75" s="129" t="s">
        <v>438</v>
      </c>
      <c r="FC75" s="14" t="s">
        <v>110</v>
      </c>
      <c r="FD75" s="14" t="s">
        <v>22</v>
      </c>
      <c r="FE75" s="129" t="s">
        <v>519</v>
      </c>
      <c r="GY75" s="12" t="s">
        <v>149</v>
      </c>
      <c r="GZ75" s="14" t="s">
        <v>518</v>
      </c>
      <c r="HA75" s="12" t="s">
        <v>424</v>
      </c>
      <c r="HB75" s="131" t="str">
        <f t="shared" si="52"/>
        <v>Triad Bracket 12mm</v>
      </c>
      <c r="HC75" s="12"/>
      <c r="HD75" s="12"/>
      <c r="IF75" s="9" t="s">
        <v>192</v>
      </c>
      <c r="IG75" s="9" t="s">
        <v>839</v>
      </c>
      <c r="IH75" s="9" t="s">
        <v>840</v>
      </c>
      <c r="II75" s="9" t="s">
        <v>841</v>
      </c>
      <c r="IJ75" s="9" t="s">
        <v>842</v>
      </c>
      <c r="IK75" s="9" t="s">
        <v>843</v>
      </c>
    </row>
    <row r="76" spans="2:252" x14ac:dyDescent="0.3">
      <c r="C76" s="64"/>
      <c r="CT76" s="3" t="str">
        <f t="shared" si="50"/>
        <v>Wrap</v>
      </c>
      <c r="CU76" s="12" t="s">
        <v>19</v>
      </c>
      <c r="CV76" s="13" t="s">
        <v>350</v>
      </c>
      <c r="CW76" s="129" t="str">
        <f t="shared" si="51"/>
        <v>GL: Glacier Blue</v>
      </c>
      <c r="DJ76" s="12" t="s">
        <v>17</v>
      </c>
      <c r="DK76" s="12" t="s">
        <v>24</v>
      </c>
      <c r="DL76" s="12" t="s">
        <v>419</v>
      </c>
      <c r="DM76" s="14" t="s">
        <v>398</v>
      </c>
      <c r="DN76" s="129" t="s">
        <v>1271</v>
      </c>
      <c r="DR76" s="16" t="s">
        <v>19</v>
      </c>
      <c r="DS76" s="12" t="s">
        <v>24</v>
      </c>
      <c r="DT76" s="12" t="s">
        <v>425</v>
      </c>
      <c r="DU76" s="16" t="s">
        <v>403</v>
      </c>
      <c r="DV76" s="95"/>
      <c r="DX76" s="14" t="s">
        <v>76</v>
      </c>
      <c r="DY76" s="12" t="s">
        <v>198</v>
      </c>
      <c r="DZ76" s="12" t="s">
        <v>91</v>
      </c>
      <c r="EC76" s="14" t="s">
        <v>16</v>
      </c>
      <c r="ED76" s="12" t="s">
        <v>66</v>
      </c>
      <c r="EE76" s="12" t="s">
        <v>45</v>
      </c>
      <c r="EF76" s="129" t="s">
        <v>490</v>
      </c>
      <c r="FC76" s="14" t="s">
        <v>110</v>
      </c>
      <c r="FD76" s="14" t="s">
        <v>518</v>
      </c>
      <c r="FE76" s="129" t="s">
        <v>1337</v>
      </c>
      <c r="GY76" s="12" t="s">
        <v>149</v>
      </c>
      <c r="GZ76" s="14" t="s">
        <v>518</v>
      </c>
      <c r="HA76" s="12" t="s">
        <v>418</v>
      </c>
      <c r="HB76" s="131" t="str">
        <f t="shared" si="52"/>
        <v>Vibraband w/Triad 12mm</v>
      </c>
      <c r="HC76" s="12"/>
      <c r="HD76" s="12"/>
      <c r="IF76" s="9" t="s">
        <v>193</v>
      </c>
      <c r="IG76" s="9" t="s">
        <v>844</v>
      </c>
      <c r="IH76" s="9" t="s">
        <v>845</v>
      </c>
      <c r="II76" s="9" t="s">
        <v>846</v>
      </c>
      <c r="IJ76" s="9" t="s">
        <v>847</v>
      </c>
      <c r="IK76" s="9" t="s">
        <v>848</v>
      </c>
    </row>
    <row r="77" spans="2:252" x14ac:dyDescent="0.3">
      <c r="C77" s="64"/>
      <c r="CT77" s="3" t="str">
        <f t="shared" si="50"/>
        <v>Wrap</v>
      </c>
      <c r="CU77" s="12" t="s">
        <v>15</v>
      </c>
      <c r="CV77" s="13" t="s">
        <v>352</v>
      </c>
      <c r="CW77" s="129" t="str">
        <f t="shared" si="51"/>
        <v>33: Gold Sparkle</v>
      </c>
      <c r="DJ77" s="12" t="s">
        <v>17</v>
      </c>
      <c r="DK77" s="12" t="s">
        <v>24</v>
      </c>
      <c r="DL77" s="12" t="s">
        <v>419</v>
      </c>
      <c r="DM77" s="14" t="s">
        <v>395</v>
      </c>
      <c r="DN77" s="129" t="s">
        <v>199</v>
      </c>
      <c r="DR77" s="16" t="s">
        <v>19</v>
      </c>
      <c r="DS77" s="12" t="s">
        <v>24</v>
      </c>
      <c r="DT77" s="12" t="s">
        <v>424</v>
      </c>
      <c r="DU77" s="16" t="s">
        <v>404</v>
      </c>
      <c r="DV77" s="95"/>
      <c r="DX77" s="14" t="s">
        <v>76</v>
      </c>
      <c r="DY77" s="12" t="s">
        <v>441</v>
      </c>
      <c r="DZ77" s="12" t="s">
        <v>442</v>
      </c>
      <c r="EC77" s="14" t="s">
        <v>16</v>
      </c>
      <c r="ED77" s="12" t="s">
        <v>66</v>
      </c>
      <c r="EE77" s="12" t="s">
        <v>49</v>
      </c>
      <c r="EF77" s="129" t="s">
        <v>491</v>
      </c>
      <c r="FC77" s="14" t="s">
        <v>110</v>
      </c>
      <c r="FD77" s="14" t="s">
        <v>16</v>
      </c>
      <c r="FE77" s="129" t="s">
        <v>1338</v>
      </c>
      <c r="GY77" s="12" t="s">
        <v>149</v>
      </c>
      <c r="GZ77" s="14" t="s">
        <v>518</v>
      </c>
      <c r="HA77" s="12" t="s">
        <v>425</v>
      </c>
      <c r="HB77" s="131" t="str">
        <f t="shared" si="52"/>
        <v>Atlas Mount 12mm</v>
      </c>
      <c r="HC77" s="12"/>
      <c r="HD77" s="12"/>
      <c r="IF77" s="9" t="s">
        <v>194</v>
      </c>
      <c r="IG77" s="9" t="s">
        <v>849</v>
      </c>
      <c r="IH77" s="9" t="s">
        <v>850</v>
      </c>
      <c r="II77" s="9" t="s">
        <v>851</v>
      </c>
      <c r="IJ77" s="9" t="s">
        <v>852</v>
      </c>
      <c r="IK77" s="9" t="s">
        <v>853</v>
      </c>
    </row>
    <row r="78" spans="2:252" x14ac:dyDescent="0.3">
      <c r="C78" s="64"/>
      <c r="CT78" s="3" t="str">
        <f t="shared" si="50"/>
        <v>Wrap</v>
      </c>
      <c r="CU78" s="12" t="s">
        <v>16</v>
      </c>
      <c r="CV78" s="13" t="s">
        <v>352</v>
      </c>
      <c r="CW78" s="129" t="str">
        <f t="shared" si="51"/>
        <v>33: Gold Sparkle</v>
      </c>
      <c r="DJ78" s="12" t="s">
        <v>17</v>
      </c>
      <c r="DK78" s="12" t="s">
        <v>24</v>
      </c>
      <c r="DL78" s="12" t="s">
        <v>419</v>
      </c>
      <c r="DM78" s="14" t="s">
        <v>401</v>
      </c>
      <c r="DN78" s="129" t="s">
        <v>1330</v>
      </c>
      <c r="DR78" s="16" t="s">
        <v>19</v>
      </c>
      <c r="DS78" s="12" t="s">
        <v>24</v>
      </c>
      <c r="DT78" s="12" t="s">
        <v>418</v>
      </c>
      <c r="DU78" s="16" t="s">
        <v>403</v>
      </c>
      <c r="DV78" s="95"/>
      <c r="DX78" s="14" t="s">
        <v>76</v>
      </c>
      <c r="DY78" s="12" t="s">
        <v>194</v>
      </c>
      <c r="DZ78" s="12" t="s">
        <v>84</v>
      </c>
      <c r="EC78" s="14" t="s">
        <v>16</v>
      </c>
      <c r="ED78" s="12" t="s">
        <v>66</v>
      </c>
      <c r="EE78" s="12" t="s">
        <v>51</v>
      </c>
      <c r="EF78" s="129" t="s">
        <v>492</v>
      </c>
      <c r="FC78" s="14" t="s">
        <v>113</v>
      </c>
      <c r="FD78" s="14" t="s">
        <v>22</v>
      </c>
      <c r="FE78" s="129" t="s">
        <v>519</v>
      </c>
      <c r="GY78" s="12" t="s">
        <v>149</v>
      </c>
      <c r="GZ78" s="14" t="s">
        <v>16</v>
      </c>
      <c r="HA78" s="12" t="s">
        <v>413</v>
      </c>
      <c r="HB78" s="131" t="str">
        <f t="shared" si="52"/>
        <v>No Mounting Bracket</v>
      </c>
      <c r="HC78" s="12"/>
      <c r="HD78" s="12"/>
      <c r="IF78" s="9" t="s">
        <v>195</v>
      </c>
      <c r="IG78" s="9" t="s">
        <v>829</v>
      </c>
      <c r="IH78" s="9" t="s">
        <v>830</v>
      </c>
      <c r="II78" s="9" t="s">
        <v>831</v>
      </c>
      <c r="IJ78" s="9" t="s">
        <v>832</v>
      </c>
      <c r="IK78" s="9" t="s">
        <v>833</v>
      </c>
    </row>
    <row r="79" spans="2:252" x14ac:dyDescent="0.3">
      <c r="C79" s="64"/>
      <c r="CT79" s="3" t="str">
        <f t="shared" si="50"/>
        <v>Wrap</v>
      </c>
      <c r="CU79" s="12" t="s">
        <v>17</v>
      </c>
      <c r="CV79" s="13" t="s">
        <v>352</v>
      </c>
      <c r="CW79" s="129" t="str">
        <f t="shared" si="51"/>
        <v>33: Gold Sparkle</v>
      </c>
      <c r="DJ79" s="12" t="s">
        <v>17</v>
      </c>
      <c r="DK79" s="12" t="s">
        <v>24</v>
      </c>
      <c r="DL79" s="12" t="s">
        <v>424</v>
      </c>
      <c r="DM79" s="14" t="s">
        <v>398</v>
      </c>
      <c r="DN79" s="129" t="s">
        <v>1271</v>
      </c>
      <c r="DX79" s="98" t="s">
        <v>76</v>
      </c>
      <c r="DY79" s="73" t="s">
        <v>203</v>
      </c>
      <c r="DZ79" s="73" t="s">
        <v>443</v>
      </c>
      <c r="EC79" s="14" t="s">
        <v>16</v>
      </c>
      <c r="ED79" s="12" t="s">
        <v>66</v>
      </c>
      <c r="EE79" s="12" t="s">
        <v>54</v>
      </c>
      <c r="EF79" s="129" t="s">
        <v>493</v>
      </c>
      <c r="FC79" s="14" t="s">
        <v>113</v>
      </c>
      <c r="FD79" s="14" t="s">
        <v>518</v>
      </c>
      <c r="FE79" s="129" t="s">
        <v>1337</v>
      </c>
      <c r="GY79" s="12" t="s">
        <v>149</v>
      </c>
      <c r="GZ79" s="14" t="s">
        <v>16</v>
      </c>
      <c r="HA79" s="12" t="s">
        <v>419</v>
      </c>
      <c r="HB79" s="131" t="str">
        <f t="shared" si="52"/>
        <v>Ludwig Classic 9.5mm</v>
      </c>
      <c r="HC79" s="12"/>
      <c r="HD79" s="12"/>
      <c r="IF79" s="9" t="s">
        <v>196</v>
      </c>
      <c r="IG79" s="9" t="s">
        <v>834</v>
      </c>
      <c r="IH79" s="9" t="s">
        <v>835</v>
      </c>
      <c r="II79" s="9" t="s">
        <v>836</v>
      </c>
      <c r="IJ79" s="9" t="s">
        <v>837</v>
      </c>
      <c r="IK79" s="9" t="s">
        <v>838</v>
      </c>
    </row>
    <row r="80" spans="2:252" x14ac:dyDescent="0.3">
      <c r="C80" s="64"/>
      <c r="CT80" s="3" t="str">
        <f t="shared" si="50"/>
        <v>Wrap</v>
      </c>
      <c r="CU80" s="12" t="s">
        <v>19</v>
      </c>
      <c r="CV80" s="13" t="s">
        <v>352</v>
      </c>
      <c r="CW80" s="129" t="str">
        <f t="shared" si="51"/>
        <v>33: Gold Sparkle</v>
      </c>
      <c r="DJ80" s="12" t="s">
        <v>17</v>
      </c>
      <c r="DK80" s="12" t="s">
        <v>24</v>
      </c>
      <c r="DL80" s="12" t="s">
        <v>424</v>
      </c>
      <c r="DM80" s="14" t="s">
        <v>395</v>
      </c>
      <c r="DN80" s="129" t="s">
        <v>199</v>
      </c>
      <c r="DX80" s="14" t="s">
        <v>76</v>
      </c>
      <c r="DY80" s="12" t="s">
        <v>190</v>
      </c>
      <c r="DZ80" s="12" t="s">
        <v>75</v>
      </c>
      <c r="EC80" s="14" t="s">
        <v>16</v>
      </c>
      <c r="ED80" s="12" t="s">
        <v>66</v>
      </c>
      <c r="EE80" s="12" t="s">
        <v>58</v>
      </c>
      <c r="EF80" s="129" t="s">
        <v>494</v>
      </c>
      <c r="FC80" s="14" t="s">
        <v>113</v>
      </c>
      <c r="FD80" s="14" t="s">
        <v>16</v>
      </c>
      <c r="FE80" s="129" t="s">
        <v>1338</v>
      </c>
      <c r="GY80" s="12" t="s">
        <v>149</v>
      </c>
      <c r="GZ80" s="14" t="s">
        <v>16</v>
      </c>
      <c r="HA80" s="12" t="s">
        <v>417</v>
      </c>
      <c r="HB80" s="131" t="str">
        <f t="shared" si="52"/>
        <v>Vibraband w/Ludwig 9.5mm</v>
      </c>
      <c r="HC80" s="12"/>
      <c r="HD80" s="12"/>
      <c r="IF80" s="9" t="s">
        <v>197</v>
      </c>
      <c r="IG80" s="9" t="s">
        <v>839</v>
      </c>
      <c r="IH80" s="9" t="s">
        <v>840</v>
      </c>
      <c r="II80" s="9" t="s">
        <v>841</v>
      </c>
      <c r="IJ80" s="9" t="s">
        <v>842</v>
      </c>
      <c r="IK80" s="9" t="s">
        <v>843</v>
      </c>
    </row>
    <row r="81" spans="98:245" x14ac:dyDescent="0.3">
      <c r="CT81" s="3" t="str">
        <f t="shared" si="50"/>
        <v>Sprayed</v>
      </c>
      <c r="CU81" s="12" t="s">
        <v>15</v>
      </c>
      <c r="CV81" s="15" t="s">
        <v>299</v>
      </c>
      <c r="CW81" s="129" t="str">
        <f t="shared" si="51"/>
        <v>RN: Golden Slumbers (burst)</v>
      </c>
      <c r="DJ81" s="12" t="s">
        <v>17</v>
      </c>
      <c r="DK81" s="12" t="s">
        <v>24</v>
      </c>
      <c r="DL81" s="12" t="s">
        <v>424</v>
      </c>
      <c r="DM81" s="14" t="s">
        <v>401</v>
      </c>
      <c r="DN81" s="129" t="s">
        <v>1330</v>
      </c>
      <c r="DX81" s="14" t="s">
        <v>76</v>
      </c>
      <c r="DY81" s="12" t="s">
        <v>195</v>
      </c>
      <c r="DZ81" s="12" t="s">
        <v>87</v>
      </c>
      <c r="EC81" s="14" t="s">
        <v>16</v>
      </c>
      <c r="ED81" s="12" t="s">
        <v>66</v>
      </c>
      <c r="EE81" s="12" t="s">
        <v>62</v>
      </c>
      <c r="EF81" s="129" t="s">
        <v>495</v>
      </c>
      <c r="FC81" s="14" t="s">
        <v>118</v>
      </c>
      <c r="FD81" s="14" t="s">
        <v>22</v>
      </c>
      <c r="FE81" s="129" t="s">
        <v>519</v>
      </c>
      <c r="GY81" s="12" t="s">
        <v>149</v>
      </c>
      <c r="GZ81" s="14" t="s">
        <v>16</v>
      </c>
      <c r="HA81" s="12" t="s">
        <v>424</v>
      </c>
      <c r="HB81" s="131" t="str">
        <f t="shared" si="52"/>
        <v>Triad Bracket 12mm</v>
      </c>
      <c r="HC81" s="12"/>
      <c r="HD81" s="12"/>
      <c r="IF81" s="9" t="s">
        <v>198</v>
      </c>
      <c r="IG81" s="9" t="s">
        <v>844</v>
      </c>
      <c r="IH81" s="9" t="s">
        <v>845</v>
      </c>
      <c r="II81" s="9" t="s">
        <v>846</v>
      </c>
      <c r="IJ81" s="9" t="s">
        <v>847</v>
      </c>
      <c r="IK81" s="9" t="s">
        <v>848</v>
      </c>
    </row>
    <row r="82" spans="98:245" x14ac:dyDescent="0.3">
      <c r="CT82" s="3" t="str">
        <f t="shared" si="50"/>
        <v>Sprayed</v>
      </c>
      <c r="CU82" s="12" t="s">
        <v>16</v>
      </c>
      <c r="CV82" s="15" t="s">
        <v>299</v>
      </c>
      <c r="CW82" s="129" t="str">
        <f t="shared" si="51"/>
        <v>RN: Golden Slumbers (burst)</v>
      </c>
      <c r="DJ82" s="12" t="s">
        <v>17</v>
      </c>
      <c r="DK82" s="12" t="s">
        <v>24</v>
      </c>
      <c r="DL82" s="12" t="s">
        <v>425</v>
      </c>
      <c r="DM82" s="14" t="s">
        <v>397</v>
      </c>
      <c r="DN82" s="129" t="s">
        <v>1271</v>
      </c>
      <c r="EC82" s="14" t="s">
        <v>16</v>
      </c>
      <c r="ED82" s="12" t="s">
        <v>66</v>
      </c>
      <c r="EE82" s="12" t="s">
        <v>64</v>
      </c>
      <c r="EF82" s="129" t="s">
        <v>496</v>
      </c>
      <c r="FC82" s="14" t="s">
        <v>118</v>
      </c>
      <c r="FD82" s="14" t="s">
        <v>518</v>
      </c>
      <c r="FE82" s="129" t="s">
        <v>1337</v>
      </c>
      <c r="GY82" s="12" t="s">
        <v>149</v>
      </c>
      <c r="GZ82" s="14" t="s">
        <v>16</v>
      </c>
      <c r="HA82" s="12" t="s">
        <v>418</v>
      </c>
      <c r="HB82" s="131" t="str">
        <f t="shared" si="52"/>
        <v>Vibraband w/Triad 12mm</v>
      </c>
      <c r="HC82" s="12"/>
      <c r="HD82" s="12"/>
      <c r="IF82" s="9" t="s">
        <v>203</v>
      </c>
      <c r="IG82" s="9" t="s">
        <v>1151</v>
      </c>
      <c r="IH82" s="9" t="s">
        <v>1152</v>
      </c>
      <c r="II82" s="9" t="s">
        <v>1153</v>
      </c>
      <c r="IJ82" s="9" t="s">
        <v>1154</v>
      </c>
      <c r="IK82" s="9" t="s">
        <v>1155</v>
      </c>
    </row>
    <row r="83" spans="98:245" x14ac:dyDescent="0.3">
      <c r="CT83" s="3" t="str">
        <f t="shared" si="50"/>
        <v>Sprayed</v>
      </c>
      <c r="CU83" s="12" t="s">
        <v>19</v>
      </c>
      <c r="CV83" s="14" t="s">
        <v>301</v>
      </c>
      <c r="CW83" s="129" t="str">
        <f t="shared" si="51"/>
        <v>K4: Green Burst</v>
      </c>
      <c r="DJ83" s="12" t="s">
        <v>17</v>
      </c>
      <c r="DK83" s="12" t="s">
        <v>24</v>
      </c>
      <c r="DL83" s="12" t="s">
        <v>425</v>
      </c>
      <c r="DM83" s="14" t="s">
        <v>394</v>
      </c>
      <c r="DN83" s="129" t="s">
        <v>199</v>
      </c>
      <c r="EC83" s="14" t="s">
        <v>16</v>
      </c>
      <c r="ED83" s="12" t="s">
        <v>66</v>
      </c>
      <c r="EE83" s="12" t="s">
        <v>68</v>
      </c>
      <c r="EF83" s="129" t="s">
        <v>497</v>
      </c>
      <c r="FC83" s="14" t="s">
        <v>118</v>
      </c>
      <c r="FD83" s="14" t="s">
        <v>16</v>
      </c>
      <c r="FE83" s="129" t="s">
        <v>1338</v>
      </c>
      <c r="GY83" s="12" t="s">
        <v>149</v>
      </c>
      <c r="GZ83" s="14" t="s">
        <v>22</v>
      </c>
      <c r="HA83" s="12" t="s">
        <v>413</v>
      </c>
      <c r="HB83" s="131" t="str">
        <f t="shared" si="52"/>
        <v>No Mounting Bracket</v>
      </c>
      <c r="HC83" s="12"/>
      <c r="HD83" s="12"/>
      <c r="IF83" s="9"/>
      <c r="IG83" s="9"/>
      <c r="IH83" s="9"/>
      <c r="II83" s="9"/>
      <c r="IJ83" s="9"/>
      <c r="IK83" s="9"/>
    </row>
    <row r="84" spans="98:245" x14ac:dyDescent="0.3">
      <c r="CT84" s="3" t="str">
        <f t="shared" si="50"/>
        <v>Wrap</v>
      </c>
      <c r="CU84" s="12" t="s">
        <v>15</v>
      </c>
      <c r="CV84" s="13" t="s">
        <v>354</v>
      </c>
      <c r="CW84" s="129" t="str">
        <f t="shared" si="51"/>
        <v>54: Green Sparkle</v>
      </c>
      <c r="DJ84" s="12" t="s">
        <v>17</v>
      </c>
      <c r="DK84" s="12" t="s">
        <v>24</v>
      </c>
      <c r="DL84" s="12" t="s">
        <v>425</v>
      </c>
      <c r="DM84" s="14" t="s">
        <v>399</v>
      </c>
      <c r="DN84" s="129" t="s">
        <v>1330</v>
      </c>
      <c r="EC84" s="14" t="s">
        <v>16</v>
      </c>
      <c r="ED84" s="12" t="s">
        <v>66</v>
      </c>
      <c r="EE84" s="12" t="s">
        <v>67</v>
      </c>
      <c r="EF84" s="129" t="s">
        <v>498</v>
      </c>
      <c r="FC84" s="14" t="s">
        <v>125</v>
      </c>
      <c r="FD84" s="14" t="s">
        <v>22</v>
      </c>
      <c r="FE84" s="129" t="s">
        <v>519</v>
      </c>
      <c r="GY84" s="12" t="s">
        <v>149</v>
      </c>
      <c r="GZ84" s="14" t="s">
        <v>22</v>
      </c>
      <c r="HA84" s="12" t="s">
        <v>419</v>
      </c>
      <c r="HB84" s="131" t="str">
        <f t="shared" si="52"/>
        <v>Ludwig Classic 9.5mm</v>
      </c>
      <c r="HC84" s="12"/>
      <c r="HD84" s="12"/>
      <c r="IF84" s="9"/>
      <c r="IG84" s="9"/>
      <c r="IH84" s="9"/>
      <c r="II84" s="9"/>
      <c r="IJ84" s="9"/>
      <c r="IK84" s="9"/>
    </row>
    <row r="85" spans="98:245" x14ac:dyDescent="0.3">
      <c r="CT85" s="3" t="str">
        <f t="shared" si="50"/>
        <v>Wrap</v>
      </c>
      <c r="CU85" s="12" t="s">
        <v>16</v>
      </c>
      <c r="CV85" s="13" t="s">
        <v>354</v>
      </c>
      <c r="CW85" s="129" t="str">
        <f t="shared" si="51"/>
        <v>54: Green Sparkle</v>
      </c>
      <c r="DJ85" s="12" t="s">
        <v>19</v>
      </c>
      <c r="DK85" s="12" t="s">
        <v>66</v>
      </c>
      <c r="DL85" s="12" t="s">
        <v>413</v>
      </c>
      <c r="DM85" s="14" t="s">
        <v>403</v>
      </c>
      <c r="DN85" s="129" t="s">
        <v>4</v>
      </c>
      <c r="EC85" s="14" t="s">
        <v>16</v>
      </c>
      <c r="ED85" s="12" t="s">
        <v>66</v>
      </c>
      <c r="EE85" s="12" t="s">
        <v>71</v>
      </c>
      <c r="EF85" s="129" t="s">
        <v>499</v>
      </c>
      <c r="FC85" s="14" t="s">
        <v>125</v>
      </c>
      <c r="FD85" s="14" t="s">
        <v>518</v>
      </c>
      <c r="FE85" s="129" t="s">
        <v>1337</v>
      </c>
      <c r="GY85" s="12" t="s">
        <v>149</v>
      </c>
      <c r="GZ85" s="14" t="s">
        <v>22</v>
      </c>
      <c r="HA85" s="12" t="s">
        <v>417</v>
      </c>
      <c r="HB85" s="131" t="str">
        <f t="shared" si="52"/>
        <v>Vibraband w/Ludwig 9.5mm</v>
      </c>
      <c r="HC85" s="12"/>
      <c r="HD85" s="12"/>
      <c r="IF85" s="9"/>
      <c r="IG85" s="9"/>
      <c r="IH85" s="9"/>
      <c r="II85" s="9"/>
      <c r="IJ85" s="9"/>
      <c r="IK85" s="9"/>
    </row>
    <row r="86" spans="98:245" x14ac:dyDescent="0.3">
      <c r="CT86" s="3" t="str">
        <f t="shared" si="50"/>
        <v>Wrap</v>
      </c>
      <c r="CU86" s="12" t="s">
        <v>17</v>
      </c>
      <c r="CV86" s="13" t="s">
        <v>354</v>
      </c>
      <c r="CW86" s="129" t="str">
        <f t="shared" si="51"/>
        <v>54: Green Sparkle</v>
      </c>
      <c r="DJ86" s="12" t="s">
        <v>19</v>
      </c>
      <c r="DK86" s="12" t="s">
        <v>66</v>
      </c>
      <c r="DL86" s="12" t="s">
        <v>413</v>
      </c>
      <c r="DM86" s="14" t="s">
        <v>394</v>
      </c>
      <c r="DN86" s="129" t="s">
        <v>199</v>
      </c>
      <c r="EC86" s="14" t="s">
        <v>16</v>
      </c>
      <c r="ED86" s="12" t="s">
        <v>66</v>
      </c>
      <c r="EE86" s="12" t="s">
        <v>74</v>
      </c>
      <c r="EF86" s="129" t="s">
        <v>500</v>
      </c>
      <c r="FC86" s="14" t="s">
        <v>125</v>
      </c>
      <c r="FD86" s="14" t="s">
        <v>16</v>
      </c>
      <c r="FE86" s="129" t="s">
        <v>1338</v>
      </c>
      <c r="GY86" s="12" t="s">
        <v>149</v>
      </c>
      <c r="GZ86" s="14" t="s">
        <v>22</v>
      </c>
      <c r="HA86" s="12" t="s">
        <v>424</v>
      </c>
      <c r="HB86" s="131" t="str">
        <f t="shared" si="52"/>
        <v>Triad Bracket 12mm</v>
      </c>
      <c r="HC86" s="12"/>
      <c r="HD86" s="12"/>
    </row>
    <row r="87" spans="98:245" x14ac:dyDescent="0.3">
      <c r="CT87" s="3" t="str">
        <f t="shared" si="50"/>
        <v>Wrap</v>
      </c>
      <c r="CU87" s="12" t="s">
        <v>19</v>
      </c>
      <c r="CV87" s="13" t="s">
        <v>354</v>
      </c>
      <c r="CW87" s="129" t="str">
        <f t="shared" si="51"/>
        <v>54: Green Sparkle</v>
      </c>
      <c r="DJ87" s="12" t="s">
        <v>19</v>
      </c>
      <c r="DK87" s="12" t="s">
        <v>73</v>
      </c>
      <c r="DL87" s="12" t="s">
        <v>413</v>
      </c>
      <c r="DM87" s="14" t="s">
        <v>403</v>
      </c>
      <c r="DN87" s="129" t="s">
        <v>4</v>
      </c>
      <c r="EC87" s="14" t="s">
        <v>16</v>
      </c>
      <c r="ED87" s="12" t="s">
        <v>66</v>
      </c>
      <c r="EE87" s="12" t="s">
        <v>77</v>
      </c>
      <c r="EF87" s="129" t="s">
        <v>501</v>
      </c>
      <c r="FC87" s="14" t="s">
        <v>116</v>
      </c>
      <c r="FD87" s="14" t="s">
        <v>22</v>
      </c>
      <c r="FE87" s="129" t="s">
        <v>519</v>
      </c>
      <c r="GY87" s="12" t="s">
        <v>149</v>
      </c>
      <c r="GZ87" s="14" t="s">
        <v>22</v>
      </c>
      <c r="HA87" s="12" t="s">
        <v>418</v>
      </c>
      <c r="HB87" s="131" t="str">
        <f t="shared" si="52"/>
        <v>Vibraband w/Triad 12mm</v>
      </c>
      <c r="HC87" s="12"/>
      <c r="HD87" s="12"/>
    </row>
    <row r="88" spans="98:245" x14ac:dyDescent="0.3">
      <c r="CT88" s="3" t="str">
        <f t="shared" si="50"/>
        <v>Sprayed</v>
      </c>
      <c r="CU88" s="12" t="s">
        <v>15</v>
      </c>
      <c r="CV88" s="13" t="s">
        <v>303</v>
      </c>
      <c r="CW88" s="129" t="str">
        <f t="shared" si="51"/>
        <v>HB: Heritage Blue</v>
      </c>
      <c r="DJ88" s="12" t="s">
        <v>19</v>
      </c>
      <c r="DK88" s="12" t="s">
        <v>73</v>
      </c>
      <c r="DL88" s="12" t="s">
        <v>413</v>
      </c>
      <c r="DM88" s="14" t="s">
        <v>394</v>
      </c>
      <c r="DN88" s="129" t="s">
        <v>199</v>
      </c>
      <c r="EC88" s="14" t="s">
        <v>16</v>
      </c>
      <c r="ED88" s="12" t="s">
        <v>66</v>
      </c>
      <c r="EE88" s="12" t="s">
        <v>81</v>
      </c>
      <c r="EF88" s="129" t="s">
        <v>502</v>
      </c>
      <c r="FC88" s="14" t="s">
        <v>116</v>
      </c>
      <c r="FD88" s="14" t="s">
        <v>518</v>
      </c>
      <c r="FE88" s="129" t="s">
        <v>1337</v>
      </c>
      <c r="GY88" s="12" t="s">
        <v>149</v>
      </c>
      <c r="GZ88" s="14" t="s">
        <v>22</v>
      </c>
      <c r="HA88" s="12" t="s">
        <v>425</v>
      </c>
      <c r="HB88" s="131" t="str">
        <f t="shared" si="52"/>
        <v>Atlas Mount 12mm</v>
      </c>
      <c r="HC88" s="12"/>
      <c r="HD88" s="12"/>
    </row>
    <row r="89" spans="98:245" x14ac:dyDescent="0.3">
      <c r="CT89" s="3" t="str">
        <f t="shared" si="50"/>
        <v>Sprayed</v>
      </c>
      <c r="CU89" s="12" t="s">
        <v>16</v>
      </c>
      <c r="CV89" s="13" t="s">
        <v>303</v>
      </c>
      <c r="CW89" s="129" t="str">
        <f t="shared" si="51"/>
        <v>HB: Heritage Blue</v>
      </c>
      <c r="DJ89" s="12" t="s">
        <v>19</v>
      </c>
      <c r="DK89" s="12" t="s">
        <v>52</v>
      </c>
      <c r="DL89" s="12" t="s">
        <v>413</v>
      </c>
      <c r="DM89" s="14" t="s">
        <v>403</v>
      </c>
      <c r="DN89" s="129" t="s">
        <v>4</v>
      </c>
      <c r="EC89" s="14" t="s">
        <v>16</v>
      </c>
      <c r="ED89" s="12" t="s">
        <v>66</v>
      </c>
      <c r="EE89" s="12" t="s">
        <v>83</v>
      </c>
      <c r="EF89" s="129" t="s">
        <v>503</v>
      </c>
      <c r="FC89" s="14" t="s">
        <v>116</v>
      </c>
      <c r="FD89" s="14" t="s">
        <v>16</v>
      </c>
      <c r="FE89" s="129" t="s">
        <v>1338</v>
      </c>
      <c r="GY89" s="12" t="s">
        <v>163</v>
      </c>
      <c r="GZ89" s="14" t="s">
        <v>518</v>
      </c>
      <c r="HA89" s="12" t="s">
        <v>413</v>
      </c>
      <c r="HB89" s="131" t="str">
        <f t="shared" si="52"/>
        <v>No Mounting Bracket</v>
      </c>
      <c r="HC89" s="12"/>
      <c r="HD89" s="12"/>
    </row>
    <row r="90" spans="98:245" x14ac:dyDescent="0.3">
      <c r="CT90" s="3" t="str">
        <f t="shared" si="50"/>
        <v>Sprayed</v>
      </c>
      <c r="CU90" s="12" t="s">
        <v>15</v>
      </c>
      <c r="CV90" s="13" t="s">
        <v>305</v>
      </c>
      <c r="CW90" s="129" t="str">
        <f t="shared" si="51"/>
        <v>HG: Heritage Green</v>
      </c>
      <c r="DJ90" s="12" t="s">
        <v>19</v>
      </c>
      <c r="DK90" s="12" t="s">
        <v>52</v>
      </c>
      <c r="DL90" s="12" t="s">
        <v>413</v>
      </c>
      <c r="DM90" s="14" t="s">
        <v>394</v>
      </c>
      <c r="DN90" s="129" t="s">
        <v>199</v>
      </c>
      <c r="EC90" s="14" t="s">
        <v>16</v>
      </c>
      <c r="ED90" s="12" t="s">
        <v>66</v>
      </c>
      <c r="EE90" s="12" t="s">
        <v>85</v>
      </c>
      <c r="EF90" s="129" t="s">
        <v>504</v>
      </c>
      <c r="FC90" s="12" t="s">
        <v>116</v>
      </c>
      <c r="FD90" s="12" t="s">
        <v>24</v>
      </c>
      <c r="FE90" s="129" t="s">
        <v>516</v>
      </c>
      <c r="GY90" s="12" t="s">
        <v>163</v>
      </c>
      <c r="GZ90" s="14" t="s">
        <v>518</v>
      </c>
      <c r="HA90" s="12" t="s">
        <v>419</v>
      </c>
      <c r="HB90" s="131" t="str">
        <f t="shared" si="52"/>
        <v>Ludwig Classic 9.5mm</v>
      </c>
      <c r="HC90" s="12"/>
      <c r="HD90" s="12"/>
    </row>
    <row r="91" spans="98:245" x14ac:dyDescent="0.3">
      <c r="CT91" s="3" t="str">
        <f t="shared" si="50"/>
        <v>Sprayed</v>
      </c>
      <c r="CU91" s="12" t="s">
        <v>16</v>
      </c>
      <c r="CV91" s="13" t="s">
        <v>305</v>
      </c>
      <c r="CW91" s="129" t="str">
        <f t="shared" si="51"/>
        <v>HG: Heritage Green</v>
      </c>
      <c r="DJ91" s="12" t="s">
        <v>19</v>
      </c>
      <c r="DK91" s="12" t="s">
        <v>24</v>
      </c>
      <c r="DL91" s="12" t="s">
        <v>417</v>
      </c>
      <c r="DM91" s="14" t="s">
        <v>403</v>
      </c>
      <c r="DN91" s="129" t="s">
        <v>4</v>
      </c>
      <c r="EC91" s="14" t="s">
        <v>16</v>
      </c>
      <c r="ED91" s="12" t="s">
        <v>66</v>
      </c>
      <c r="EE91" s="12" t="s">
        <v>88</v>
      </c>
      <c r="EF91" s="129" t="s">
        <v>505</v>
      </c>
      <c r="FC91" s="12" t="s">
        <v>116</v>
      </c>
      <c r="FD91" s="12" t="s">
        <v>23</v>
      </c>
      <c r="FE91" s="129" t="s">
        <v>527</v>
      </c>
      <c r="GY91" s="12" t="s">
        <v>163</v>
      </c>
      <c r="GZ91" s="14" t="s">
        <v>518</v>
      </c>
      <c r="HA91" s="12" t="s">
        <v>417</v>
      </c>
      <c r="HB91" s="131" t="str">
        <f t="shared" si="52"/>
        <v>Vibraband w/Ludwig 9.5mm</v>
      </c>
      <c r="HC91" s="12"/>
      <c r="HD91" s="12"/>
    </row>
    <row r="92" spans="98:245" x14ac:dyDescent="0.3">
      <c r="CT92" s="3" t="str">
        <f t="shared" si="50"/>
        <v>Wrap</v>
      </c>
      <c r="CU92" s="12" t="s">
        <v>15</v>
      </c>
      <c r="CV92" s="12" t="s">
        <v>356</v>
      </c>
      <c r="CW92" s="129" t="str">
        <f t="shared" si="51"/>
        <v>H1: Hybrid Black Sparkle</v>
      </c>
      <c r="DJ92" s="12" t="s">
        <v>19</v>
      </c>
      <c r="DK92" s="12" t="s">
        <v>24</v>
      </c>
      <c r="DL92" s="12" t="s">
        <v>417</v>
      </c>
      <c r="DM92" s="14" t="s">
        <v>394</v>
      </c>
      <c r="DN92" s="129" t="s">
        <v>199</v>
      </c>
      <c r="EC92" s="14" t="s">
        <v>16</v>
      </c>
      <c r="ED92" s="12" t="s">
        <v>66</v>
      </c>
      <c r="EE92" s="12" t="s">
        <v>90</v>
      </c>
      <c r="EF92" s="129" t="s">
        <v>506</v>
      </c>
      <c r="FC92" s="14" t="s">
        <v>122</v>
      </c>
      <c r="FD92" s="14" t="s">
        <v>22</v>
      </c>
      <c r="FE92" s="129" t="s">
        <v>519</v>
      </c>
      <c r="GY92" s="12" t="s">
        <v>163</v>
      </c>
      <c r="GZ92" s="14" t="s">
        <v>518</v>
      </c>
      <c r="HA92" s="12" t="s">
        <v>424</v>
      </c>
      <c r="HB92" s="131" t="str">
        <f t="shared" si="52"/>
        <v>Triad Bracket 12mm</v>
      </c>
      <c r="HC92" s="12"/>
      <c r="HD92" s="12"/>
    </row>
    <row r="93" spans="98:245" x14ac:dyDescent="0.3">
      <c r="CT93" s="3" t="str">
        <f t="shared" si="50"/>
        <v>Wrap</v>
      </c>
      <c r="CU93" s="12" t="s">
        <v>16</v>
      </c>
      <c r="CV93" s="12" t="s">
        <v>356</v>
      </c>
      <c r="CW93" s="129" t="str">
        <f t="shared" si="51"/>
        <v>H1: Hybrid Black Sparkle</v>
      </c>
      <c r="DJ93" s="12" t="s">
        <v>19</v>
      </c>
      <c r="DK93" s="12" t="s">
        <v>24</v>
      </c>
      <c r="DL93" s="12" t="s">
        <v>418</v>
      </c>
      <c r="DM93" s="14" t="s">
        <v>403</v>
      </c>
      <c r="DN93" s="129" t="s">
        <v>4</v>
      </c>
      <c r="EC93" s="14" t="s">
        <v>16</v>
      </c>
      <c r="ED93" s="12" t="s">
        <v>66</v>
      </c>
      <c r="EE93" s="12" t="s">
        <v>93</v>
      </c>
      <c r="EF93" s="129" t="s">
        <v>507</v>
      </c>
      <c r="FC93" s="14" t="s">
        <v>122</v>
      </c>
      <c r="FD93" s="14" t="s">
        <v>518</v>
      </c>
      <c r="FE93" s="129" t="s">
        <v>1337</v>
      </c>
      <c r="GY93" s="12" t="s">
        <v>163</v>
      </c>
      <c r="GZ93" s="14" t="s">
        <v>518</v>
      </c>
      <c r="HA93" s="12" t="s">
        <v>418</v>
      </c>
      <c r="HB93" s="131" t="str">
        <f t="shared" si="52"/>
        <v>Vibraband w/Triad 12mm</v>
      </c>
      <c r="HC93" s="12"/>
      <c r="HD93" s="12"/>
    </row>
    <row r="94" spans="98:245" x14ac:dyDescent="0.3">
      <c r="CT94" s="3" t="str">
        <f t="shared" si="50"/>
        <v>Wrap</v>
      </c>
      <c r="CU94" s="12" t="s">
        <v>17</v>
      </c>
      <c r="CV94" s="12" t="s">
        <v>356</v>
      </c>
      <c r="CW94" s="129" t="str">
        <f t="shared" si="51"/>
        <v>H1: Hybrid Black Sparkle</v>
      </c>
      <c r="DJ94" s="12" t="s">
        <v>19</v>
      </c>
      <c r="DK94" s="12" t="s">
        <v>24</v>
      </c>
      <c r="DL94" s="12" t="s">
        <v>418</v>
      </c>
      <c r="DM94" s="14" t="s">
        <v>394</v>
      </c>
      <c r="DN94" s="129" t="s">
        <v>199</v>
      </c>
      <c r="EC94" s="14" t="s">
        <v>16</v>
      </c>
      <c r="ED94" s="12" t="s">
        <v>66</v>
      </c>
      <c r="EE94" s="12" t="s">
        <v>95</v>
      </c>
      <c r="EF94" s="129" t="s">
        <v>508</v>
      </c>
      <c r="FC94" s="14" t="s">
        <v>122</v>
      </c>
      <c r="FD94" s="14" t="s">
        <v>16</v>
      </c>
      <c r="FE94" s="129" t="s">
        <v>1338</v>
      </c>
      <c r="GY94" s="12" t="s">
        <v>163</v>
      </c>
      <c r="GZ94" s="14" t="s">
        <v>518</v>
      </c>
      <c r="HA94" s="12" t="s">
        <v>425</v>
      </c>
      <c r="HB94" s="131" t="str">
        <f t="shared" si="52"/>
        <v>Atlas Mount 12mm</v>
      </c>
      <c r="HC94" s="12"/>
      <c r="HD94" s="12"/>
    </row>
    <row r="95" spans="98:245" x14ac:dyDescent="0.3">
      <c r="CT95" s="3" t="str">
        <f t="shared" si="50"/>
        <v>Wrap</v>
      </c>
      <c r="CU95" s="12" t="s">
        <v>19</v>
      </c>
      <c r="CV95" s="12" t="s">
        <v>356</v>
      </c>
      <c r="CW95" s="129" t="str">
        <f t="shared" si="51"/>
        <v>H1: Hybrid Black Sparkle</v>
      </c>
      <c r="DJ95" s="12" t="s">
        <v>19</v>
      </c>
      <c r="DK95" s="12" t="s">
        <v>24</v>
      </c>
      <c r="DL95" s="12" t="s">
        <v>413</v>
      </c>
      <c r="DM95" s="14" t="s">
        <v>403</v>
      </c>
      <c r="DN95" s="129" t="s">
        <v>4</v>
      </c>
      <c r="EC95" s="14" t="s">
        <v>16</v>
      </c>
      <c r="ED95" s="12" t="s">
        <v>66</v>
      </c>
      <c r="EE95" s="12" t="s">
        <v>100</v>
      </c>
      <c r="EF95" s="129" t="s">
        <v>509</v>
      </c>
      <c r="FC95" s="14" t="s">
        <v>126</v>
      </c>
      <c r="FD95" s="14" t="s">
        <v>22</v>
      </c>
      <c r="FE95" s="129" t="s">
        <v>519</v>
      </c>
      <c r="GY95" s="12" t="s">
        <v>163</v>
      </c>
      <c r="GZ95" s="14" t="s">
        <v>16</v>
      </c>
      <c r="HA95" s="12" t="s">
        <v>413</v>
      </c>
      <c r="HB95" s="131" t="str">
        <f t="shared" si="52"/>
        <v>No Mounting Bracket</v>
      </c>
      <c r="HC95" s="12"/>
      <c r="HD95" s="12"/>
    </row>
    <row r="96" spans="98:245" x14ac:dyDescent="0.3">
      <c r="CT96" s="3" t="str">
        <f t="shared" si="50"/>
        <v>Wrap</v>
      </c>
      <c r="CU96" s="12" t="s">
        <v>15</v>
      </c>
      <c r="CV96" s="12" t="s">
        <v>358</v>
      </c>
      <c r="CW96" s="129" t="str">
        <f t="shared" si="51"/>
        <v>H2: Hybrid Copper Sparkle</v>
      </c>
      <c r="DJ96" s="12" t="s">
        <v>19</v>
      </c>
      <c r="DK96" s="12" t="s">
        <v>24</v>
      </c>
      <c r="DL96" s="12" t="s">
        <v>413</v>
      </c>
      <c r="DM96" s="14" t="s">
        <v>394</v>
      </c>
      <c r="DN96" s="129" t="s">
        <v>199</v>
      </c>
      <c r="EC96" s="14" t="s">
        <v>16</v>
      </c>
      <c r="ED96" s="12" t="s">
        <v>66</v>
      </c>
      <c r="EE96" s="12" t="s">
        <v>104</v>
      </c>
      <c r="EF96" s="129" t="s">
        <v>510</v>
      </c>
      <c r="FC96" s="14" t="s">
        <v>126</v>
      </c>
      <c r="FD96" s="14" t="s">
        <v>518</v>
      </c>
      <c r="FE96" s="129" t="s">
        <v>1337</v>
      </c>
      <c r="GY96" s="12" t="s">
        <v>163</v>
      </c>
      <c r="GZ96" s="14" t="s">
        <v>16</v>
      </c>
      <c r="HA96" s="12" t="s">
        <v>419</v>
      </c>
      <c r="HB96" s="131" t="str">
        <f t="shared" si="52"/>
        <v>Ludwig Classic 9.5mm</v>
      </c>
      <c r="HC96" s="12"/>
      <c r="HD96" s="12"/>
    </row>
    <row r="97" spans="98:210" x14ac:dyDescent="0.3">
      <c r="CT97" s="3" t="str">
        <f t="shared" si="50"/>
        <v>Wrap</v>
      </c>
      <c r="CU97" s="12" t="s">
        <v>16</v>
      </c>
      <c r="CV97" s="12" t="s">
        <v>358</v>
      </c>
      <c r="CW97" s="129" t="str">
        <f t="shared" si="51"/>
        <v>H2: Hybrid Copper Sparkle</v>
      </c>
      <c r="DJ97" s="12" t="s">
        <v>19</v>
      </c>
      <c r="DK97" s="12" t="s">
        <v>24</v>
      </c>
      <c r="DL97" s="12" t="s">
        <v>419</v>
      </c>
      <c r="DM97" s="14" t="s">
        <v>404</v>
      </c>
      <c r="DN97" s="129" t="s">
        <v>4</v>
      </c>
      <c r="EC97" s="14" t="s">
        <v>16</v>
      </c>
      <c r="ED97" s="12" t="s">
        <v>73</v>
      </c>
      <c r="EE97" s="12" t="s">
        <v>110</v>
      </c>
      <c r="EF97" s="129" t="s">
        <v>480</v>
      </c>
      <c r="FC97" s="14" t="s">
        <v>126</v>
      </c>
      <c r="FD97" s="14" t="s">
        <v>16</v>
      </c>
      <c r="FE97" s="129" t="s">
        <v>1338</v>
      </c>
      <c r="GY97" s="12" t="s">
        <v>163</v>
      </c>
      <c r="GZ97" s="14" t="s">
        <v>16</v>
      </c>
      <c r="HA97" s="12" t="s">
        <v>417</v>
      </c>
      <c r="HB97" s="131" t="str">
        <f t="shared" si="52"/>
        <v>Vibraband w/Ludwig 9.5mm</v>
      </c>
    </row>
    <row r="98" spans="98:210" x14ac:dyDescent="0.3">
      <c r="CT98" s="3" t="str">
        <f t="shared" si="50"/>
        <v>Wrap</v>
      </c>
      <c r="CU98" s="12" t="s">
        <v>17</v>
      </c>
      <c r="CV98" s="12" t="s">
        <v>358</v>
      </c>
      <c r="CW98" s="129" t="str">
        <f t="shared" si="51"/>
        <v>H2: Hybrid Copper Sparkle</v>
      </c>
      <c r="DJ98" s="12" t="s">
        <v>19</v>
      </c>
      <c r="DK98" s="12" t="s">
        <v>24</v>
      </c>
      <c r="DL98" s="12" t="s">
        <v>419</v>
      </c>
      <c r="DM98" s="14" t="s">
        <v>395</v>
      </c>
      <c r="DN98" s="129" t="s">
        <v>199</v>
      </c>
      <c r="EC98" s="14" t="s">
        <v>16</v>
      </c>
      <c r="ED98" s="12" t="s">
        <v>73</v>
      </c>
      <c r="EE98" s="12" t="s">
        <v>113</v>
      </c>
      <c r="EF98" s="129" t="s">
        <v>481</v>
      </c>
      <c r="FC98" s="14" t="s">
        <v>128</v>
      </c>
      <c r="FD98" s="14" t="s">
        <v>22</v>
      </c>
      <c r="FE98" s="129" t="s">
        <v>519</v>
      </c>
      <c r="GY98" s="12" t="s">
        <v>163</v>
      </c>
      <c r="GZ98" s="14" t="s">
        <v>16</v>
      </c>
      <c r="HA98" s="12" t="s">
        <v>424</v>
      </c>
      <c r="HB98" s="131" t="str">
        <f t="shared" si="52"/>
        <v>Triad Bracket 12mm</v>
      </c>
    </row>
    <row r="99" spans="98:210" x14ac:dyDescent="0.3">
      <c r="CT99" s="3" t="str">
        <f t="shared" si="50"/>
        <v>Wrap</v>
      </c>
      <c r="CU99" s="12" t="s">
        <v>19</v>
      </c>
      <c r="CV99" s="12" t="s">
        <v>358</v>
      </c>
      <c r="CW99" s="129" t="str">
        <f t="shared" si="51"/>
        <v>H2: Hybrid Copper Sparkle</v>
      </c>
      <c r="DJ99" s="12" t="s">
        <v>19</v>
      </c>
      <c r="DK99" s="12" t="s">
        <v>24</v>
      </c>
      <c r="DL99" s="12" t="s">
        <v>424</v>
      </c>
      <c r="DM99" s="14" t="s">
        <v>404</v>
      </c>
      <c r="DN99" s="129" t="s">
        <v>4</v>
      </c>
      <c r="EC99" s="14" t="s">
        <v>16</v>
      </c>
      <c r="ED99" s="12" t="s">
        <v>73</v>
      </c>
      <c r="EE99" s="12" t="s">
        <v>116</v>
      </c>
      <c r="EF99" s="129" t="s">
        <v>482</v>
      </c>
      <c r="FC99" s="14" t="s">
        <v>128</v>
      </c>
      <c r="FD99" s="14" t="s">
        <v>518</v>
      </c>
      <c r="FE99" s="129" t="s">
        <v>1337</v>
      </c>
      <c r="GY99" s="12" t="s">
        <v>163</v>
      </c>
      <c r="GZ99" s="14" t="s">
        <v>16</v>
      </c>
      <c r="HA99" s="12" t="s">
        <v>418</v>
      </c>
      <c r="HB99" s="131" t="str">
        <f t="shared" si="52"/>
        <v>Vibraband w/Triad 12mm</v>
      </c>
    </row>
    <row r="100" spans="98:210" x14ac:dyDescent="0.3">
      <c r="CT100" s="3" t="str">
        <f t="shared" ref="CT100:CT131" si="53">VLOOKUP(CV100,CN$4:CQ$68,3,FALSE)</f>
        <v>Wrap</v>
      </c>
      <c r="CU100" s="12" t="s">
        <v>15</v>
      </c>
      <c r="CV100" s="13" t="s">
        <v>59</v>
      </c>
      <c r="CW100" s="129" t="str">
        <f t="shared" ref="CW100:CW131" si="54">VLOOKUP(CV100,$CN$4:$CR$68,5,FALSE)</f>
        <v>A2: Lemon Oyster</v>
      </c>
      <c r="DJ100" s="12" t="s">
        <v>19</v>
      </c>
      <c r="DK100" s="12" t="s">
        <v>24</v>
      </c>
      <c r="DL100" s="12" t="s">
        <v>424</v>
      </c>
      <c r="DM100" s="14" t="s">
        <v>395</v>
      </c>
      <c r="DN100" s="129" t="s">
        <v>199</v>
      </c>
      <c r="EC100" s="14" t="s">
        <v>16</v>
      </c>
      <c r="ED100" s="12" t="s">
        <v>73</v>
      </c>
      <c r="EE100" s="12" t="s">
        <v>118</v>
      </c>
      <c r="EF100" s="129" t="s">
        <v>483</v>
      </c>
      <c r="FC100" s="14" t="s">
        <v>128</v>
      </c>
      <c r="FD100" s="14" t="s">
        <v>16</v>
      </c>
      <c r="FE100" s="129" t="s">
        <v>1338</v>
      </c>
      <c r="GY100" s="12" t="s">
        <v>163</v>
      </c>
      <c r="GZ100" s="14" t="s">
        <v>22</v>
      </c>
      <c r="HA100" s="12" t="s">
        <v>413</v>
      </c>
      <c r="HB100" s="131" t="str">
        <f t="shared" si="52"/>
        <v>No Mounting Bracket</v>
      </c>
    </row>
    <row r="101" spans="98:210" x14ac:dyDescent="0.3">
      <c r="CT101" s="3" t="str">
        <f t="shared" si="53"/>
        <v>Wrap</v>
      </c>
      <c r="CU101" s="12" t="s">
        <v>16</v>
      </c>
      <c r="CV101" s="13" t="s">
        <v>59</v>
      </c>
      <c r="CW101" s="129" t="str">
        <f t="shared" si="54"/>
        <v>A2: Lemon Oyster</v>
      </c>
      <c r="DJ101" s="12" t="s">
        <v>19</v>
      </c>
      <c r="DK101" s="12" t="s">
        <v>24</v>
      </c>
      <c r="DL101" s="12" t="s">
        <v>425</v>
      </c>
      <c r="DM101" s="14" t="s">
        <v>403</v>
      </c>
      <c r="DN101" s="129" t="s">
        <v>4</v>
      </c>
      <c r="EC101" s="14" t="s">
        <v>16</v>
      </c>
      <c r="ED101" s="12" t="s">
        <v>73</v>
      </c>
      <c r="EE101" s="12" t="s">
        <v>122</v>
      </c>
      <c r="EF101" s="129" t="s">
        <v>484</v>
      </c>
      <c r="FC101" s="14" t="s">
        <v>129</v>
      </c>
      <c r="FD101" s="14" t="s">
        <v>22</v>
      </c>
      <c r="FE101" s="129" t="s">
        <v>519</v>
      </c>
      <c r="GY101" s="12" t="s">
        <v>163</v>
      </c>
      <c r="GZ101" s="14" t="s">
        <v>22</v>
      </c>
      <c r="HA101" s="12" t="s">
        <v>419</v>
      </c>
      <c r="HB101" s="131" t="str">
        <f t="shared" si="52"/>
        <v>Ludwig Classic 9.5mm</v>
      </c>
    </row>
    <row r="102" spans="98:210" x14ac:dyDescent="0.3">
      <c r="CT102" s="3" t="str">
        <f t="shared" si="53"/>
        <v>Wrap</v>
      </c>
      <c r="CU102" s="12" t="s">
        <v>17</v>
      </c>
      <c r="CV102" s="13" t="s">
        <v>59</v>
      </c>
      <c r="CW102" s="129" t="str">
        <f t="shared" si="54"/>
        <v>A2: Lemon Oyster</v>
      </c>
      <c r="DJ102" s="12" t="s">
        <v>19</v>
      </c>
      <c r="DK102" s="12" t="s">
        <v>24</v>
      </c>
      <c r="DL102" s="12" t="s">
        <v>425</v>
      </c>
      <c r="DM102" s="14" t="s">
        <v>394</v>
      </c>
      <c r="DN102" s="129" t="s">
        <v>199</v>
      </c>
      <c r="EC102" s="14" t="s">
        <v>16</v>
      </c>
      <c r="ED102" s="12" t="s">
        <v>73</v>
      </c>
      <c r="EE102" s="12" t="s">
        <v>125</v>
      </c>
      <c r="EF102" s="129" t="s">
        <v>485</v>
      </c>
      <c r="FC102" s="14" t="s">
        <v>129</v>
      </c>
      <c r="FD102" s="14" t="s">
        <v>518</v>
      </c>
      <c r="FE102" s="129" t="s">
        <v>1337</v>
      </c>
      <c r="GY102" s="12" t="s">
        <v>163</v>
      </c>
      <c r="GZ102" s="14" t="s">
        <v>22</v>
      </c>
      <c r="HA102" s="12" t="s">
        <v>417</v>
      </c>
      <c r="HB102" s="131" t="str">
        <f t="shared" si="52"/>
        <v>Vibraband w/Ludwig 9.5mm</v>
      </c>
    </row>
    <row r="103" spans="98:210" x14ac:dyDescent="0.3">
      <c r="CT103" s="3" t="str">
        <f t="shared" si="53"/>
        <v>Wrap</v>
      </c>
      <c r="CU103" s="12" t="s">
        <v>19</v>
      </c>
      <c r="CV103" s="13" t="s">
        <v>59</v>
      </c>
      <c r="CW103" s="129" t="str">
        <f t="shared" si="54"/>
        <v>A2: Lemon Oyster</v>
      </c>
      <c r="DJ103" s="12" t="s">
        <v>18</v>
      </c>
      <c r="DK103" s="12" t="s">
        <v>66</v>
      </c>
      <c r="DL103" s="12" t="s">
        <v>413</v>
      </c>
      <c r="DM103" s="14" t="s">
        <v>397</v>
      </c>
      <c r="DN103" s="129" t="s">
        <v>1271</v>
      </c>
      <c r="EC103" s="14" t="s">
        <v>16</v>
      </c>
      <c r="ED103" s="12" t="s">
        <v>73</v>
      </c>
      <c r="EE103" s="12" t="s">
        <v>126</v>
      </c>
      <c r="EF103" s="129" t="s">
        <v>486</v>
      </c>
      <c r="FC103" s="14" t="s">
        <v>129</v>
      </c>
      <c r="FD103" s="14" t="s">
        <v>16</v>
      </c>
      <c r="FE103" s="129" t="s">
        <v>1338</v>
      </c>
      <c r="GY103" s="12" t="s">
        <v>163</v>
      </c>
      <c r="GZ103" s="14" t="s">
        <v>22</v>
      </c>
      <c r="HA103" s="12" t="s">
        <v>424</v>
      </c>
      <c r="HB103" s="131" t="str">
        <f t="shared" si="52"/>
        <v>Triad Bracket 12mm</v>
      </c>
    </row>
    <row r="104" spans="98:210" x14ac:dyDescent="0.3">
      <c r="CT104" s="3" t="str">
        <f t="shared" si="53"/>
        <v>Sprayed</v>
      </c>
      <c r="CU104" s="12" t="s">
        <v>15</v>
      </c>
      <c r="CV104" s="13" t="s">
        <v>307</v>
      </c>
      <c r="CW104" s="129" t="str">
        <f t="shared" si="54"/>
        <v>0M: Mahogany Stain</v>
      </c>
      <c r="DJ104" s="12" t="s">
        <v>18</v>
      </c>
      <c r="DK104" s="12" t="s">
        <v>66</v>
      </c>
      <c r="DL104" s="12" t="s">
        <v>413</v>
      </c>
      <c r="DM104" s="14" t="s">
        <v>394</v>
      </c>
      <c r="DN104" s="129" t="s">
        <v>199</v>
      </c>
      <c r="EC104" s="14" t="s">
        <v>16</v>
      </c>
      <c r="ED104" s="12" t="s">
        <v>73</v>
      </c>
      <c r="EE104" s="12" t="s">
        <v>128</v>
      </c>
      <c r="EF104" s="129" t="s">
        <v>487</v>
      </c>
      <c r="FC104" s="12" t="s">
        <v>129</v>
      </c>
      <c r="FD104" s="12" t="s">
        <v>24</v>
      </c>
      <c r="FE104" s="129" t="s">
        <v>516</v>
      </c>
      <c r="GY104" s="12" t="s">
        <v>163</v>
      </c>
      <c r="GZ104" s="14" t="s">
        <v>22</v>
      </c>
      <c r="HA104" s="12" t="s">
        <v>418</v>
      </c>
      <c r="HB104" s="131" t="str">
        <f t="shared" si="52"/>
        <v>Vibraband w/Triad 12mm</v>
      </c>
    </row>
    <row r="105" spans="98:210" x14ac:dyDescent="0.3">
      <c r="CT105" s="3" t="str">
        <f t="shared" si="53"/>
        <v>Sprayed</v>
      </c>
      <c r="CU105" s="12" t="s">
        <v>16</v>
      </c>
      <c r="CV105" s="13" t="s">
        <v>307</v>
      </c>
      <c r="CW105" s="129" t="str">
        <f t="shared" si="54"/>
        <v>0M: Mahogany Stain</v>
      </c>
      <c r="DJ105" s="12" t="s">
        <v>18</v>
      </c>
      <c r="DK105" s="12" t="s">
        <v>66</v>
      </c>
      <c r="DL105" s="12" t="s">
        <v>413</v>
      </c>
      <c r="DM105" s="14" t="s">
        <v>399</v>
      </c>
      <c r="DN105" s="129" t="s">
        <v>1330</v>
      </c>
      <c r="EC105" s="14" t="s">
        <v>16</v>
      </c>
      <c r="ED105" s="12" t="s">
        <v>73</v>
      </c>
      <c r="EE105" s="12" t="s">
        <v>129</v>
      </c>
      <c r="EF105" s="129" t="s">
        <v>488</v>
      </c>
      <c r="FC105" s="12" t="s">
        <v>129</v>
      </c>
      <c r="FD105" s="12" t="s">
        <v>23</v>
      </c>
      <c r="FE105" s="129" t="s">
        <v>527</v>
      </c>
      <c r="GY105" s="12" t="s">
        <v>163</v>
      </c>
      <c r="GZ105" s="14" t="s">
        <v>22</v>
      </c>
      <c r="HA105" s="12" t="s">
        <v>425</v>
      </c>
      <c r="HB105" s="131" t="str">
        <f t="shared" si="52"/>
        <v>Atlas Mount 12mm</v>
      </c>
    </row>
    <row r="106" spans="98:210" x14ac:dyDescent="0.3">
      <c r="CT106" s="3" t="str">
        <f t="shared" si="53"/>
        <v>Wrap</v>
      </c>
      <c r="CU106" s="12" t="s">
        <v>15</v>
      </c>
      <c r="CV106" s="13" t="s">
        <v>932</v>
      </c>
      <c r="CW106" s="129" t="str">
        <f t="shared" si="54"/>
        <v>S3: Merlot Super Sparkle</v>
      </c>
      <c r="DJ106" s="12" t="s">
        <v>18</v>
      </c>
      <c r="DK106" s="12" t="s">
        <v>73</v>
      </c>
      <c r="DL106" s="12" t="s">
        <v>413</v>
      </c>
      <c r="DM106" s="14" t="s">
        <v>397</v>
      </c>
      <c r="DN106" s="129" t="s">
        <v>1271</v>
      </c>
      <c r="EC106" s="14" t="s">
        <v>16</v>
      </c>
      <c r="ED106" s="12" t="s">
        <v>73</v>
      </c>
      <c r="EE106" s="12" t="s">
        <v>131</v>
      </c>
      <c r="EF106" s="129" t="s">
        <v>489</v>
      </c>
      <c r="FC106" s="14" t="s">
        <v>131</v>
      </c>
      <c r="FD106" s="14" t="s">
        <v>22</v>
      </c>
      <c r="FE106" s="129" t="s">
        <v>519</v>
      </c>
      <c r="GY106" s="12" t="s">
        <v>150</v>
      </c>
      <c r="GZ106" s="14" t="s">
        <v>518</v>
      </c>
      <c r="HA106" s="12" t="s">
        <v>413</v>
      </c>
      <c r="HB106" s="131" t="str">
        <f t="shared" si="52"/>
        <v>No Mounting Bracket</v>
      </c>
    </row>
    <row r="107" spans="98:210" x14ac:dyDescent="0.3">
      <c r="CT107" s="3" t="str">
        <f t="shared" si="53"/>
        <v>Wrap</v>
      </c>
      <c r="CU107" s="12" t="s">
        <v>16</v>
      </c>
      <c r="CV107" s="13" t="s">
        <v>932</v>
      </c>
      <c r="CW107" s="129" t="str">
        <f t="shared" si="54"/>
        <v>S3: Merlot Super Sparkle</v>
      </c>
      <c r="DJ107" s="12" t="s">
        <v>18</v>
      </c>
      <c r="DK107" s="12" t="s">
        <v>73</v>
      </c>
      <c r="DL107" s="12" t="s">
        <v>413</v>
      </c>
      <c r="DM107" s="14" t="s">
        <v>394</v>
      </c>
      <c r="DN107" s="129" t="s">
        <v>199</v>
      </c>
      <c r="EC107" s="14" t="s">
        <v>16</v>
      </c>
      <c r="ED107" s="12" t="s">
        <v>52</v>
      </c>
      <c r="EE107" s="12" t="s">
        <v>186</v>
      </c>
      <c r="EF107" s="129" t="s">
        <v>65</v>
      </c>
      <c r="FC107" s="14" t="s">
        <v>131</v>
      </c>
      <c r="FD107" s="14" t="s">
        <v>518</v>
      </c>
      <c r="FE107" s="129" t="s">
        <v>1337</v>
      </c>
      <c r="GY107" s="12" t="s">
        <v>150</v>
      </c>
      <c r="GZ107" s="14" t="s">
        <v>518</v>
      </c>
      <c r="HA107" s="12" t="s">
        <v>419</v>
      </c>
      <c r="HB107" s="131" t="str">
        <f t="shared" si="52"/>
        <v>Ludwig Classic 9.5mm</v>
      </c>
    </row>
    <row r="108" spans="98:210" x14ac:dyDescent="0.3">
      <c r="CT108" s="3" t="str">
        <f t="shared" si="53"/>
        <v>Wrap</v>
      </c>
      <c r="CU108" s="12" t="s">
        <v>17</v>
      </c>
      <c r="CV108" s="13" t="s">
        <v>932</v>
      </c>
      <c r="CW108" s="129" t="str">
        <f t="shared" si="54"/>
        <v>S3: Merlot Super Sparkle</v>
      </c>
      <c r="DJ108" s="12" t="s">
        <v>18</v>
      </c>
      <c r="DK108" s="12" t="s">
        <v>73</v>
      </c>
      <c r="DL108" s="12" t="s">
        <v>413</v>
      </c>
      <c r="DM108" s="14" t="s">
        <v>399</v>
      </c>
      <c r="DN108" s="129" t="s">
        <v>1330</v>
      </c>
      <c r="EC108" s="14" t="s">
        <v>16</v>
      </c>
      <c r="ED108" s="12" t="s">
        <v>52</v>
      </c>
      <c r="EE108" s="12" t="s">
        <v>189</v>
      </c>
      <c r="EF108" s="129" t="s">
        <v>72</v>
      </c>
      <c r="FC108" s="14" t="s">
        <v>131</v>
      </c>
      <c r="FD108" s="14" t="s">
        <v>16</v>
      </c>
      <c r="FE108" s="129" t="s">
        <v>1338</v>
      </c>
      <c r="GY108" s="12" t="s">
        <v>150</v>
      </c>
      <c r="GZ108" s="14" t="s">
        <v>518</v>
      </c>
      <c r="HA108" s="12" t="s">
        <v>417</v>
      </c>
      <c r="HB108" s="131" t="str">
        <f t="shared" si="52"/>
        <v>Vibraband w/Ludwig 9.5mm</v>
      </c>
    </row>
    <row r="109" spans="98:210" x14ac:dyDescent="0.3">
      <c r="CT109" s="3" t="str">
        <f t="shared" si="53"/>
        <v>Wrap</v>
      </c>
      <c r="CU109" s="12" t="s">
        <v>19</v>
      </c>
      <c r="CV109" s="13" t="s">
        <v>932</v>
      </c>
      <c r="CW109" s="129" t="str">
        <f t="shared" si="54"/>
        <v>S3: Merlot Super Sparkle</v>
      </c>
      <c r="DJ109" s="12" t="s">
        <v>18</v>
      </c>
      <c r="DK109" s="12" t="s">
        <v>52</v>
      </c>
      <c r="DL109" s="12" t="s">
        <v>413</v>
      </c>
      <c r="DM109" s="14" t="s">
        <v>397</v>
      </c>
      <c r="DN109" s="129" t="s">
        <v>1271</v>
      </c>
      <c r="EC109" s="12" t="s">
        <v>16</v>
      </c>
      <c r="ED109" s="12" t="s">
        <v>52</v>
      </c>
      <c r="EE109" s="12" t="s">
        <v>190</v>
      </c>
      <c r="EF109" s="129" t="s">
        <v>75</v>
      </c>
      <c r="FC109" s="12" t="s">
        <v>131</v>
      </c>
      <c r="FD109" s="12" t="s">
        <v>24</v>
      </c>
      <c r="FE109" s="129" t="s">
        <v>516</v>
      </c>
      <c r="GY109" s="12" t="s">
        <v>150</v>
      </c>
      <c r="GZ109" s="14" t="s">
        <v>518</v>
      </c>
      <c r="HA109" s="12" t="s">
        <v>424</v>
      </c>
      <c r="HB109" s="131" t="str">
        <f t="shared" si="52"/>
        <v>Triad Bracket 12mm</v>
      </c>
    </row>
    <row r="110" spans="98:210" x14ac:dyDescent="0.3">
      <c r="CT110" s="3" t="str">
        <f t="shared" si="53"/>
        <v>Wrap</v>
      </c>
      <c r="CU110" s="12" t="s">
        <v>15</v>
      </c>
      <c r="CV110" s="13" t="s">
        <v>361</v>
      </c>
      <c r="CW110" s="129" t="str">
        <f t="shared" si="54"/>
        <v>51: Mod Orange</v>
      </c>
      <c r="DJ110" s="12" t="s">
        <v>18</v>
      </c>
      <c r="DK110" s="12" t="s">
        <v>52</v>
      </c>
      <c r="DL110" s="12" t="s">
        <v>413</v>
      </c>
      <c r="DM110" s="14" t="s">
        <v>394</v>
      </c>
      <c r="DN110" s="129" t="s">
        <v>199</v>
      </c>
      <c r="EC110" s="12" t="s">
        <v>16</v>
      </c>
      <c r="ED110" s="12" t="s">
        <v>52</v>
      </c>
      <c r="EE110" s="12" t="s">
        <v>195</v>
      </c>
      <c r="EF110" s="129" t="s">
        <v>87</v>
      </c>
      <c r="FC110" s="12" t="s">
        <v>131</v>
      </c>
      <c r="FD110" s="12" t="s">
        <v>23</v>
      </c>
      <c r="FE110" s="129" t="s">
        <v>527</v>
      </c>
      <c r="GY110" s="12" t="s">
        <v>150</v>
      </c>
      <c r="GZ110" s="14" t="s">
        <v>518</v>
      </c>
      <c r="HA110" s="12" t="s">
        <v>418</v>
      </c>
      <c r="HB110" s="131" t="str">
        <f t="shared" si="52"/>
        <v>Vibraband w/Triad 12mm</v>
      </c>
    </row>
    <row r="111" spans="98:210" x14ac:dyDescent="0.3">
      <c r="CT111" s="3" t="str">
        <f t="shared" si="53"/>
        <v>Wrap</v>
      </c>
      <c r="CU111" s="12" t="s">
        <v>16</v>
      </c>
      <c r="CV111" s="13" t="s">
        <v>361</v>
      </c>
      <c r="CW111" s="129" t="str">
        <f t="shared" si="54"/>
        <v>51: Mod Orange</v>
      </c>
      <c r="DJ111" s="12" t="s">
        <v>18</v>
      </c>
      <c r="DK111" s="12" t="s">
        <v>52</v>
      </c>
      <c r="DL111" s="12" t="s">
        <v>413</v>
      </c>
      <c r="DM111" s="14" t="s">
        <v>399</v>
      </c>
      <c r="DN111" s="129" t="s">
        <v>1330</v>
      </c>
      <c r="EC111" s="14" t="s">
        <v>16</v>
      </c>
      <c r="ED111" s="12" t="s">
        <v>52</v>
      </c>
      <c r="EE111" s="12" t="s">
        <v>191</v>
      </c>
      <c r="EF111" s="129" t="s">
        <v>80</v>
      </c>
      <c r="FC111" s="14" t="s">
        <v>203</v>
      </c>
      <c r="FD111" s="14" t="s">
        <v>24</v>
      </c>
      <c r="FE111" s="129" t="s">
        <v>516</v>
      </c>
      <c r="GY111" s="12" t="s">
        <v>150</v>
      </c>
      <c r="GZ111" s="14" t="s">
        <v>518</v>
      </c>
      <c r="HA111" s="12" t="s">
        <v>425</v>
      </c>
      <c r="HB111" s="131" t="str">
        <f t="shared" si="52"/>
        <v>Atlas Mount 12mm</v>
      </c>
    </row>
    <row r="112" spans="98:210" x14ac:dyDescent="0.3">
      <c r="CT112" s="3" t="str">
        <f t="shared" si="53"/>
        <v>Wrap</v>
      </c>
      <c r="CU112" s="12" t="s">
        <v>17</v>
      </c>
      <c r="CV112" s="13" t="s">
        <v>361</v>
      </c>
      <c r="CW112" s="129" t="str">
        <f t="shared" si="54"/>
        <v>51: Mod Orange</v>
      </c>
      <c r="DJ112" s="12" t="s">
        <v>18</v>
      </c>
      <c r="DK112" s="12" t="s">
        <v>24</v>
      </c>
      <c r="DL112" s="12" t="s">
        <v>417</v>
      </c>
      <c r="DM112" s="14" t="s">
        <v>397</v>
      </c>
      <c r="DN112" s="129" t="s">
        <v>1271</v>
      </c>
      <c r="EC112" s="14" t="s">
        <v>16</v>
      </c>
      <c r="ED112" s="12" t="s">
        <v>52</v>
      </c>
      <c r="EE112" s="12" t="s">
        <v>196</v>
      </c>
      <c r="EF112" s="129" t="s">
        <v>89</v>
      </c>
      <c r="FC112" s="14" t="s">
        <v>203</v>
      </c>
      <c r="FD112" s="14" t="s">
        <v>22</v>
      </c>
      <c r="FE112" s="129" t="s">
        <v>519</v>
      </c>
      <c r="GY112" s="12" t="s">
        <v>150</v>
      </c>
      <c r="GZ112" s="14" t="s">
        <v>16</v>
      </c>
      <c r="HA112" s="12" t="s">
        <v>413</v>
      </c>
      <c r="HB112" s="131" t="str">
        <f t="shared" si="52"/>
        <v>No Mounting Bracket</v>
      </c>
    </row>
    <row r="113" spans="98:210" x14ac:dyDescent="0.3">
      <c r="CT113" s="3" t="str">
        <f t="shared" si="53"/>
        <v>Wrap</v>
      </c>
      <c r="CU113" s="12" t="s">
        <v>19</v>
      </c>
      <c r="CV113" s="13" t="s">
        <v>361</v>
      </c>
      <c r="CW113" s="129" t="str">
        <f t="shared" si="54"/>
        <v>51: Mod Orange</v>
      </c>
      <c r="DJ113" s="12" t="s">
        <v>18</v>
      </c>
      <c r="DK113" s="12" t="s">
        <v>24</v>
      </c>
      <c r="DL113" s="12" t="s">
        <v>417</v>
      </c>
      <c r="DM113" s="14" t="s">
        <v>394</v>
      </c>
      <c r="DN113" s="129" t="s">
        <v>199</v>
      </c>
      <c r="EC113" s="14" t="s">
        <v>16</v>
      </c>
      <c r="ED113" s="12" t="s">
        <v>52</v>
      </c>
      <c r="EE113" s="12" t="s">
        <v>197</v>
      </c>
      <c r="EF113" s="129" t="s">
        <v>61</v>
      </c>
      <c r="FC113" s="14" t="s">
        <v>187</v>
      </c>
      <c r="FD113" s="14" t="s">
        <v>185</v>
      </c>
      <c r="FE113" s="129" t="s">
        <v>529</v>
      </c>
      <c r="GY113" s="12" t="s">
        <v>150</v>
      </c>
      <c r="GZ113" s="14" t="s">
        <v>16</v>
      </c>
      <c r="HA113" s="12" t="s">
        <v>419</v>
      </c>
      <c r="HB113" s="131" t="str">
        <f t="shared" si="52"/>
        <v>Ludwig Classic 9.5mm</v>
      </c>
    </row>
    <row r="114" spans="98:210" x14ac:dyDescent="0.3">
      <c r="CT114" s="3" t="str">
        <f t="shared" si="53"/>
        <v>Sprayed</v>
      </c>
      <c r="CU114" s="12" t="s">
        <v>15</v>
      </c>
      <c r="CV114" s="13" t="s">
        <v>309</v>
      </c>
      <c r="CW114" s="129" t="str">
        <f t="shared" si="54"/>
        <v>0N: Natural Maple</v>
      </c>
      <c r="DJ114" s="12" t="s">
        <v>18</v>
      </c>
      <c r="DK114" s="12" t="s">
        <v>24</v>
      </c>
      <c r="DL114" s="12" t="s">
        <v>417</v>
      </c>
      <c r="DM114" s="14" t="s">
        <v>399</v>
      </c>
      <c r="DN114" s="129" t="s">
        <v>1330</v>
      </c>
      <c r="EC114" s="14" t="s">
        <v>16</v>
      </c>
      <c r="ED114" s="12" t="s">
        <v>52</v>
      </c>
      <c r="EE114" s="12" t="s">
        <v>193</v>
      </c>
      <c r="EF114" s="129" t="s">
        <v>82</v>
      </c>
      <c r="FC114" s="14" t="s">
        <v>187</v>
      </c>
      <c r="FD114" s="14" t="s">
        <v>27</v>
      </c>
      <c r="FE114" s="129" t="s">
        <v>517</v>
      </c>
      <c r="GY114" s="12" t="s">
        <v>150</v>
      </c>
      <c r="GZ114" s="14" t="s">
        <v>16</v>
      </c>
      <c r="HA114" s="12" t="s">
        <v>417</v>
      </c>
      <c r="HB114" s="131" t="str">
        <f t="shared" si="52"/>
        <v>Vibraband w/Ludwig 9.5mm</v>
      </c>
    </row>
    <row r="115" spans="98:210" x14ac:dyDescent="0.3">
      <c r="CT115" s="3" t="str">
        <f t="shared" si="53"/>
        <v>Sprayed</v>
      </c>
      <c r="CU115" s="12" t="s">
        <v>16</v>
      </c>
      <c r="CV115" s="13" t="s">
        <v>309</v>
      </c>
      <c r="CW115" s="129" t="str">
        <f t="shared" si="54"/>
        <v>0N: Natural Maple</v>
      </c>
      <c r="DJ115" s="12" t="s">
        <v>18</v>
      </c>
      <c r="DK115" s="12" t="s">
        <v>24</v>
      </c>
      <c r="DL115" s="12" t="s">
        <v>418</v>
      </c>
      <c r="DM115" s="14" t="s">
        <v>397</v>
      </c>
      <c r="DN115" s="129" t="s">
        <v>1271</v>
      </c>
      <c r="EC115" s="14" t="s">
        <v>16</v>
      </c>
      <c r="ED115" s="12" t="s">
        <v>52</v>
      </c>
      <c r="EE115" s="12" t="s">
        <v>198</v>
      </c>
      <c r="EF115" s="129" t="s">
        <v>91</v>
      </c>
      <c r="FC115" s="14" t="s">
        <v>524</v>
      </c>
      <c r="FD115" s="14" t="s">
        <v>185</v>
      </c>
      <c r="FE115" s="129" t="s">
        <v>529</v>
      </c>
      <c r="GY115" s="12" t="s">
        <v>150</v>
      </c>
      <c r="GZ115" s="14" t="s">
        <v>16</v>
      </c>
      <c r="HA115" s="12" t="s">
        <v>424</v>
      </c>
      <c r="HB115" s="131" t="str">
        <f t="shared" si="52"/>
        <v>Triad Bracket 12mm</v>
      </c>
    </row>
    <row r="116" spans="98:210" x14ac:dyDescent="0.3">
      <c r="CT116" s="3" t="str">
        <f t="shared" si="53"/>
        <v>Sprayed</v>
      </c>
      <c r="CU116" s="12" t="s">
        <v>19</v>
      </c>
      <c r="CV116" s="13" t="s">
        <v>311</v>
      </c>
      <c r="CW116" s="129" t="str">
        <f t="shared" si="54"/>
        <v>BH: Night Oak</v>
      </c>
      <c r="DJ116" s="12" t="s">
        <v>18</v>
      </c>
      <c r="DK116" s="12" t="s">
        <v>24</v>
      </c>
      <c r="DL116" s="12" t="s">
        <v>418</v>
      </c>
      <c r="DM116" s="14" t="s">
        <v>394</v>
      </c>
      <c r="DN116" s="129" t="s">
        <v>199</v>
      </c>
      <c r="EC116" s="14" t="s">
        <v>16</v>
      </c>
      <c r="ED116" s="12" t="s">
        <v>52</v>
      </c>
      <c r="EE116" s="12" t="s">
        <v>194</v>
      </c>
      <c r="EF116" s="129" t="s">
        <v>84</v>
      </c>
      <c r="FC116" s="14" t="s">
        <v>524</v>
      </c>
      <c r="FD116" s="14" t="s">
        <v>27</v>
      </c>
      <c r="FE116" s="129" t="s">
        <v>517</v>
      </c>
      <c r="GY116" s="12" t="s">
        <v>150</v>
      </c>
      <c r="GZ116" s="14" t="s">
        <v>16</v>
      </c>
      <c r="HA116" s="12" t="s">
        <v>418</v>
      </c>
      <c r="HB116" s="131" t="str">
        <f t="shared" si="52"/>
        <v>Vibraband w/Triad 12mm</v>
      </c>
    </row>
    <row r="117" spans="98:210" x14ac:dyDescent="0.3">
      <c r="CT117" s="3" t="str">
        <f t="shared" si="53"/>
        <v>Wrap</v>
      </c>
      <c r="CU117" s="12" t="s">
        <v>15</v>
      </c>
      <c r="CV117" s="13" t="s">
        <v>363</v>
      </c>
      <c r="CW117" s="129" t="str">
        <f t="shared" si="54"/>
        <v>86: Olive Oyster</v>
      </c>
      <c r="DJ117" s="12" t="s">
        <v>18</v>
      </c>
      <c r="DK117" s="12" t="s">
        <v>24</v>
      </c>
      <c r="DL117" s="12" t="s">
        <v>418</v>
      </c>
      <c r="DM117" s="14" t="s">
        <v>399</v>
      </c>
      <c r="DN117" s="129" t="s">
        <v>1330</v>
      </c>
      <c r="EC117" s="14" t="s">
        <v>16</v>
      </c>
      <c r="ED117" s="12" t="s">
        <v>52</v>
      </c>
      <c r="EE117" s="12" t="s">
        <v>203</v>
      </c>
      <c r="EF117" s="129" t="s">
        <v>443</v>
      </c>
      <c r="FC117" s="14" t="s">
        <v>190</v>
      </c>
      <c r="FD117" s="14" t="s">
        <v>185</v>
      </c>
      <c r="FE117" s="129" t="s">
        <v>529</v>
      </c>
      <c r="GY117" s="12" t="s">
        <v>150</v>
      </c>
      <c r="GZ117" s="14" t="s">
        <v>22</v>
      </c>
      <c r="HA117" s="12" t="s">
        <v>413</v>
      </c>
      <c r="HB117" s="131" t="str">
        <f t="shared" si="52"/>
        <v>No Mounting Bracket</v>
      </c>
    </row>
    <row r="118" spans="98:210" x14ac:dyDescent="0.3">
      <c r="CT118" s="3" t="str">
        <f t="shared" si="53"/>
        <v>Wrap</v>
      </c>
      <c r="CU118" s="12" t="s">
        <v>16</v>
      </c>
      <c r="CV118" s="13" t="s">
        <v>363</v>
      </c>
      <c r="CW118" s="129" t="str">
        <f t="shared" si="54"/>
        <v>86: Olive Oyster</v>
      </c>
      <c r="DJ118" s="12" t="s">
        <v>18</v>
      </c>
      <c r="DK118" s="12" t="s">
        <v>24</v>
      </c>
      <c r="DL118" s="12" t="s">
        <v>413</v>
      </c>
      <c r="DM118" s="14" t="s">
        <v>397</v>
      </c>
      <c r="DN118" s="129" t="s">
        <v>1271</v>
      </c>
      <c r="EC118" s="14" t="s">
        <v>16</v>
      </c>
      <c r="ED118" s="12" t="s">
        <v>24</v>
      </c>
      <c r="EE118" s="12" t="s">
        <v>137</v>
      </c>
      <c r="EF118" s="129" t="s">
        <v>455</v>
      </c>
      <c r="FC118" s="14" t="s">
        <v>190</v>
      </c>
      <c r="FD118" s="14" t="s">
        <v>27</v>
      </c>
      <c r="FE118" s="129" t="s">
        <v>517</v>
      </c>
      <c r="GY118" s="12" t="s">
        <v>150</v>
      </c>
      <c r="GZ118" s="14" t="s">
        <v>22</v>
      </c>
      <c r="HA118" s="12" t="s">
        <v>419</v>
      </c>
      <c r="HB118" s="131" t="str">
        <f t="shared" si="52"/>
        <v>Ludwig Classic 9.5mm</v>
      </c>
    </row>
    <row r="119" spans="98:210" x14ac:dyDescent="0.3">
      <c r="CT119" s="3" t="str">
        <f t="shared" si="53"/>
        <v>Wrap</v>
      </c>
      <c r="CU119" s="12" t="s">
        <v>17</v>
      </c>
      <c r="CV119" s="13" t="s">
        <v>363</v>
      </c>
      <c r="CW119" s="129" t="str">
        <f t="shared" si="54"/>
        <v>86: Olive Oyster</v>
      </c>
      <c r="DJ119" s="12" t="s">
        <v>18</v>
      </c>
      <c r="DK119" s="12" t="s">
        <v>24</v>
      </c>
      <c r="DL119" s="12" t="s">
        <v>413</v>
      </c>
      <c r="DM119" s="14" t="s">
        <v>394</v>
      </c>
      <c r="DN119" s="129" t="s">
        <v>199</v>
      </c>
      <c r="EC119" s="14" t="s">
        <v>16</v>
      </c>
      <c r="ED119" s="12" t="s">
        <v>24</v>
      </c>
      <c r="EE119" s="12" t="s">
        <v>138</v>
      </c>
      <c r="EF119" s="129" t="s">
        <v>456</v>
      </c>
      <c r="FC119" s="14" t="s">
        <v>195</v>
      </c>
      <c r="FD119" s="14" t="s">
        <v>185</v>
      </c>
      <c r="FE119" s="129" t="s">
        <v>529</v>
      </c>
      <c r="GY119" s="12" t="s">
        <v>150</v>
      </c>
      <c r="GZ119" s="14" t="s">
        <v>22</v>
      </c>
      <c r="HA119" s="12" t="s">
        <v>417</v>
      </c>
      <c r="HB119" s="131" t="str">
        <f t="shared" si="52"/>
        <v>Vibraband w/Ludwig 9.5mm</v>
      </c>
    </row>
    <row r="120" spans="98:210" x14ac:dyDescent="0.3">
      <c r="CT120" s="3" t="str">
        <f t="shared" si="53"/>
        <v>Wrap</v>
      </c>
      <c r="CU120" s="12" t="s">
        <v>19</v>
      </c>
      <c r="CV120" s="13" t="s">
        <v>363</v>
      </c>
      <c r="CW120" s="129" t="str">
        <f t="shared" si="54"/>
        <v>86: Olive Oyster</v>
      </c>
      <c r="DJ120" s="12" t="s">
        <v>18</v>
      </c>
      <c r="DK120" s="12" t="s">
        <v>24</v>
      </c>
      <c r="DL120" s="12" t="s">
        <v>413</v>
      </c>
      <c r="DM120" s="14" t="s">
        <v>399</v>
      </c>
      <c r="DN120" s="129" t="s">
        <v>1330</v>
      </c>
      <c r="EC120" s="14" t="s">
        <v>16</v>
      </c>
      <c r="ED120" s="12" t="s">
        <v>24</v>
      </c>
      <c r="EE120" s="12" t="s">
        <v>139</v>
      </c>
      <c r="EF120" s="129" t="s">
        <v>457</v>
      </c>
      <c r="FC120" s="14" t="s">
        <v>195</v>
      </c>
      <c r="FD120" s="14" t="s">
        <v>27</v>
      </c>
      <c r="FE120" s="129" t="s">
        <v>517</v>
      </c>
      <c r="GY120" s="12" t="s">
        <v>150</v>
      </c>
      <c r="GZ120" s="14" t="s">
        <v>22</v>
      </c>
      <c r="HA120" s="12" t="s">
        <v>424</v>
      </c>
      <c r="HB120" s="131" t="str">
        <f t="shared" si="52"/>
        <v>Triad Bracket 12mm</v>
      </c>
    </row>
    <row r="121" spans="98:210" x14ac:dyDescent="0.3">
      <c r="CT121" s="3" t="str">
        <f t="shared" si="53"/>
        <v>Wrap</v>
      </c>
      <c r="CU121" s="12" t="s">
        <v>15</v>
      </c>
      <c r="CV121" s="13" t="s">
        <v>367</v>
      </c>
      <c r="CW121" s="129" t="str">
        <f t="shared" si="54"/>
        <v>27: Red Sparkle</v>
      </c>
      <c r="DJ121" s="12" t="s">
        <v>18</v>
      </c>
      <c r="DK121" s="12" t="s">
        <v>24</v>
      </c>
      <c r="DL121" s="12" t="s">
        <v>419</v>
      </c>
      <c r="DM121" s="14" t="s">
        <v>398</v>
      </c>
      <c r="DN121" s="129" t="s">
        <v>1271</v>
      </c>
      <c r="EC121" s="14" t="s">
        <v>16</v>
      </c>
      <c r="ED121" s="12" t="s">
        <v>24</v>
      </c>
      <c r="EE121" s="12" t="s">
        <v>140</v>
      </c>
      <c r="EF121" s="129" t="s">
        <v>458</v>
      </c>
      <c r="FC121" s="14" t="s">
        <v>191</v>
      </c>
      <c r="FD121" s="14" t="s">
        <v>26</v>
      </c>
      <c r="FE121" s="129" t="s">
        <v>515</v>
      </c>
      <c r="GY121" s="12" t="s">
        <v>150</v>
      </c>
      <c r="GZ121" s="14" t="s">
        <v>22</v>
      </c>
      <c r="HA121" s="12" t="s">
        <v>418</v>
      </c>
      <c r="HB121" s="131" t="str">
        <f t="shared" si="52"/>
        <v>Vibraband w/Triad 12mm</v>
      </c>
    </row>
    <row r="122" spans="98:210" x14ac:dyDescent="0.3">
      <c r="CT122" s="3" t="str">
        <f t="shared" si="53"/>
        <v>Wrap</v>
      </c>
      <c r="CU122" s="12" t="s">
        <v>16</v>
      </c>
      <c r="CV122" s="13" t="s">
        <v>367</v>
      </c>
      <c r="CW122" s="129" t="str">
        <f t="shared" si="54"/>
        <v>27: Red Sparkle</v>
      </c>
      <c r="DJ122" s="12" t="s">
        <v>18</v>
      </c>
      <c r="DK122" s="12" t="s">
        <v>24</v>
      </c>
      <c r="DL122" s="12" t="s">
        <v>419</v>
      </c>
      <c r="DM122" s="14" t="s">
        <v>395</v>
      </c>
      <c r="DN122" s="129" t="s">
        <v>199</v>
      </c>
      <c r="EC122" s="14" t="s">
        <v>16</v>
      </c>
      <c r="ED122" s="12" t="s">
        <v>24</v>
      </c>
      <c r="EE122" s="12" t="s">
        <v>141</v>
      </c>
      <c r="EF122" s="129" t="s">
        <v>459</v>
      </c>
      <c r="FC122" s="14" t="s">
        <v>191</v>
      </c>
      <c r="FD122" s="14" t="s">
        <v>27</v>
      </c>
      <c r="FE122" s="129" t="s">
        <v>517</v>
      </c>
      <c r="GY122" s="12" t="s">
        <v>150</v>
      </c>
      <c r="GZ122" s="14" t="s">
        <v>22</v>
      </c>
      <c r="HA122" s="12" t="s">
        <v>425</v>
      </c>
      <c r="HB122" s="131" t="str">
        <f t="shared" si="52"/>
        <v>Atlas Mount 12mm</v>
      </c>
    </row>
    <row r="123" spans="98:210" x14ac:dyDescent="0.3">
      <c r="CT123" s="3" t="str">
        <f t="shared" si="53"/>
        <v>Wrap</v>
      </c>
      <c r="CU123" s="12" t="s">
        <v>17</v>
      </c>
      <c r="CV123" s="13" t="s">
        <v>367</v>
      </c>
      <c r="CW123" s="129" t="str">
        <f t="shared" si="54"/>
        <v>27: Red Sparkle</v>
      </c>
      <c r="DJ123" s="12" t="s">
        <v>18</v>
      </c>
      <c r="DK123" s="12" t="s">
        <v>24</v>
      </c>
      <c r="DL123" s="12" t="s">
        <v>419</v>
      </c>
      <c r="DM123" s="14" t="s">
        <v>401</v>
      </c>
      <c r="DN123" s="129" t="s">
        <v>1330</v>
      </c>
      <c r="EC123" s="14" t="s">
        <v>16</v>
      </c>
      <c r="ED123" s="12" t="s">
        <v>24</v>
      </c>
      <c r="EE123" s="12" t="s">
        <v>143</v>
      </c>
      <c r="EF123" s="129" t="s">
        <v>460</v>
      </c>
      <c r="FC123" s="14" t="s">
        <v>191</v>
      </c>
      <c r="FD123" s="14" t="s">
        <v>25</v>
      </c>
      <c r="FE123" s="129" t="s">
        <v>528</v>
      </c>
      <c r="GY123" s="12" t="s">
        <v>169</v>
      </c>
      <c r="GZ123" s="14" t="s">
        <v>518</v>
      </c>
      <c r="HA123" s="12" t="s">
        <v>413</v>
      </c>
      <c r="HB123" s="131" t="str">
        <f t="shared" si="52"/>
        <v>No Mounting Bracket</v>
      </c>
    </row>
    <row r="124" spans="98:210" x14ac:dyDescent="0.3">
      <c r="CT124" s="3" t="str">
        <f t="shared" si="53"/>
        <v>Wrap</v>
      </c>
      <c r="CU124" s="12" t="s">
        <v>19</v>
      </c>
      <c r="CV124" s="13" t="s">
        <v>367</v>
      </c>
      <c r="CW124" s="129" t="str">
        <f t="shared" si="54"/>
        <v>27: Red Sparkle</v>
      </c>
      <c r="DJ124" s="12" t="s">
        <v>18</v>
      </c>
      <c r="DK124" s="12" t="s">
        <v>24</v>
      </c>
      <c r="DL124" s="12" t="s">
        <v>424</v>
      </c>
      <c r="DM124" s="14" t="s">
        <v>398</v>
      </c>
      <c r="DN124" s="129" t="s">
        <v>1271</v>
      </c>
      <c r="EC124" s="14" t="s">
        <v>16</v>
      </c>
      <c r="ED124" s="12" t="s">
        <v>24</v>
      </c>
      <c r="EE124" s="12" t="s">
        <v>144</v>
      </c>
      <c r="EF124" s="129" t="s">
        <v>461</v>
      </c>
      <c r="FC124" s="14" t="s">
        <v>196</v>
      </c>
      <c r="FD124" s="14" t="s">
        <v>26</v>
      </c>
      <c r="FE124" s="129" t="s">
        <v>515</v>
      </c>
      <c r="GY124" s="12" t="s">
        <v>169</v>
      </c>
      <c r="GZ124" s="14" t="s">
        <v>518</v>
      </c>
      <c r="HA124" s="12" t="s">
        <v>419</v>
      </c>
      <c r="HB124" s="131" t="str">
        <f t="shared" si="52"/>
        <v>Ludwig Classic 9.5mm</v>
      </c>
    </row>
    <row r="125" spans="98:210" x14ac:dyDescent="0.3">
      <c r="CT125" s="3" t="str">
        <f t="shared" si="53"/>
        <v>Wrap</v>
      </c>
      <c r="CU125" s="12" t="s">
        <v>15</v>
      </c>
      <c r="CV125" s="13" t="s">
        <v>369</v>
      </c>
      <c r="CW125" s="129" t="str">
        <f t="shared" si="54"/>
        <v>61: Red Swirl</v>
      </c>
      <c r="DJ125" s="12" t="s">
        <v>18</v>
      </c>
      <c r="DK125" s="12" t="s">
        <v>24</v>
      </c>
      <c r="DL125" s="12" t="s">
        <v>424</v>
      </c>
      <c r="DM125" s="14" t="s">
        <v>395</v>
      </c>
      <c r="DN125" s="129" t="s">
        <v>199</v>
      </c>
      <c r="EC125" s="14" t="s">
        <v>16</v>
      </c>
      <c r="ED125" s="12" t="s">
        <v>24</v>
      </c>
      <c r="EE125" s="12" t="s">
        <v>146</v>
      </c>
      <c r="EF125" s="129" t="s">
        <v>462</v>
      </c>
      <c r="FC125" s="14" t="s">
        <v>196</v>
      </c>
      <c r="FD125" s="14" t="s">
        <v>27</v>
      </c>
      <c r="FE125" s="129" t="s">
        <v>517</v>
      </c>
      <c r="GY125" s="12" t="s">
        <v>169</v>
      </c>
      <c r="GZ125" s="14" t="s">
        <v>518</v>
      </c>
      <c r="HA125" s="12" t="s">
        <v>417</v>
      </c>
      <c r="HB125" s="131" t="str">
        <f t="shared" si="52"/>
        <v>Vibraband w/Ludwig 9.5mm</v>
      </c>
    </row>
    <row r="126" spans="98:210" x14ac:dyDescent="0.3">
      <c r="CT126" s="3" t="str">
        <f t="shared" si="53"/>
        <v>Wrap</v>
      </c>
      <c r="CU126" s="12" t="s">
        <v>16</v>
      </c>
      <c r="CV126" s="13" t="s">
        <v>369</v>
      </c>
      <c r="CW126" s="129" t="str">
        <f t="shared" si="54"/>
        <v>61: Red Swirl</v>
      </c>
      <c r="DJ126" s="12" t="s">
        <v>18</v>
      </c>
      <c r="DK126" s="12" t="s">
        <v>24</v>
      </c>
      <c r="DL126" s="12" t="s">
        <v>424</v>
      </c>
      <c r="DM126" s="14" t="s">
        <v>401</v>
      </c>
      <c r="DN126" s="129" t="s">
        <v>1330</v>
      </c>
      <c r="EC126" s="14" t="s">
        <v>16</v>
      </c>
      <c r="ED126" s="12" t="s">
        <v>24</v>
      </c>
      <c r="EE126" s="12" t="s">
        <v>147</v>
      </c>
      <c r="EF126" s="129" t="s">
        <v>463</v>
      </c>
      <c r="FC126" s="14" t="s">
        <v>196</v>
      </c>
      <c r="FD126" s="14" t="s">
        <v>25</v>
      </c>
      <c r="FE126" s="129" t="s">
        <v>528</v>
      </c>
      <c r="GY126" s="12" t="s">
        <v>169</v>
      </c>
      <c r="GZ126" s="14" t="s">
        <v>518</v>
      </c>
      <c r="HA126" s="12" t="s">
        <v>424</v>
      </c>
      <c r="HB126" s="131" t="str">
        <f t="shared" si="52"/>
        <v>Triad Bracket 12mm</v>
      </c>
    </row>
    <row r="127" spans="98:210" x14ac:dyDescent="0.3">
      <c r="CT127" s="3" t="str">
        <f t="shared" si="53"/>
        <v>Wrap</v>
      </c>
      <c r="CU127" s="12" t="s">
        <v>17</v>
      </c>
      <c r="CV127" s="13" t="s">
        <v>369</v>
      </c>
      <c r="CW127" s="129" t="str">
        <f t="shared" si="54"/>
        <v>61: Red Swirl</v>
      </c>
      <c r="DJ127" s="12" t="s">
        <v>18</v>
      </c>
      <c r="DK127" s="12" t="s">
        <v>24</v>
      </c>
      <c r="DL127" s="12" t="s">
        <v>425</v>
      </c>
      <c r="DM127" s="14" t="s">
        <v>397</v>
      </c>
      <c r="DN127" s="129" t="s">
        <v>1271</v>
      </c>
      <c r="EC127" s="14" t="s">
        <v>16</v>
      </c>
      <c r="ED127" s="12" t="s">
        <v>24</v>
      </c>
      <c r="EE127" s="12" t="s">
        <v>148</v>
      </c>
      <c r="EF127" s="129" t="s">
        <v>464</v>
      </c>
      <c r="FC127" s="14" t="s">
        <v>186</v>
      </c>
      <c r="FD127" s="14" t="s">
        <v>22</v>
      </c>
      <c r="FE127" s="129" t="s">
        <v>519</v>
      </c>
      <c r="GY127" s="12" t="s">
        <v>169</v>
      </c>
      <c r="GZ127" s="14" t="s">
        <v>518</v>
      </c>
      <c r="HA127" s="12" t="s">
        <v>418</v>
      </c>
      <c r="HB127" s="131" t="str">
        <f t="shared" si="52"/>
        <v>Vibraband w/Triad 12mm</v>
      </c>
    </row>
    <row r="128" spans="98:210" x14ac:dyDescent="0.3">
      <c r="CT128" s="3" t="str">
        <f t="shared" si="53"/>
        <v>Wrap</v>
      </c>
      <c r="CU128" s="12" t="s">
        <v>19</v>
      </c>
      <c r="CV128" s="13" t="s">
        <v>369</v>
      </c>
      <c r="CW128" s="129" t="str">
        <f t="shared" si="54"/>
        <v>61: Red Swirl</v>
      </c>
      <c r="DJ128" s="12" t="s">
        <v>18</v>
      </c>
      <c r="DK128" s="12" t="s">
        <v>24</v>
      </c>
      <c r="DL128" s="12" t="s">
        <v>425</v>
      </c>
      <c r="DM128" s="14" t="s">
        <v>394</v>
      </c>
      <c r="DN128" s="129" t="s">
        <v>199</v>
      </c>
      <c r="EC128" s="14" t="s">
        <v>16</v>
      </c>
      <c r="ED128" s="12" t="s">
        <v>24</v>
      </c>
      <c r="EE128" s="12" t="s">
        <v>149</v>
      </c>
      <c r="EF128" s="129" t="s">
        <v>465</v>
      </c>
      <c r="FC128" s="14" t="s">
        <v>186</v>
      </c>
      <c r="FD128" s="14" t="s">
        <v>26</v>
      </c>
      <c r="FE128" s="129" t="s">
        <v>515</v>
      </c>
      <c r="GY128" s="12" t="s">
        <v>169</v>
      </c>
      <c r="GZ128" s="14" t="s">
        <v>518</v>
      </c>
      <c r="HA128" s="12" t="s">
        <v>425</v>
      </c>
      <c r="HB128" s="131" t="str">
        <f t="shared" si="52"/>
        <v>Atlas Mount 12mm</v>
      </c>
    </row>
    <row r="129" spans="98:210" x14ac:dyDescent="0.3">
      <c r="CT129" s="3" t="str">
        <f t="shared" si="53"/>
        <v>Sprayed</v>
      </c>
      <c r="CU129" s="12" t="s">
        <v>15</v>
      </c>
      <c r="CV129" s="13" t="s">
        <v>313</v>
      </c>
      <c r="CW129" s="129" t="str">
        <f t="shared" si="54"/>
        <v>0T: Sable Classic Coat</v>
      </c>
      <c r="DJ129" s="12" t="s">
        <v>18</v>
      </c>
      <c r="DK129" s="12" t="s">
        <v>24</v>
      </c>
      <c r="DL129" s="12" t="s">
        <v>425</v>
      </c>
      <c r="DM129" s="14" t="s">
        <v>399</v>
      </c>
      <c r="DN129" s="129" t="s">
        <v>1330</v>
      </c>
      <c r="EC129" s="14" t="s">
        <v>16</v>
      </c>
      <c r="ED129" s="12" t="s">
        <v>24</v>
      </c>
      <c r="EE129" s="12" t="s">
        <v>150</v>
      </c>
      <c r="EF129" s="129" t="s">
        <v>466</v>
      </c>
      <c r="FC129" s="14" t="s">
        <v>186</v>
      </c>
      <c r="FD129" s="14" t="s">
        <v>27</v>
      </c>
      <c r="FE129" s="129" t="s">
        <v>517</v>
      </c>
      <c r="GY129" s="12" t="s">
        <v>169</v>
      </c>
      <c r="GZ129" s="14" t="s">
        <v>16</v>
      </c>
      <c r="HA129" s="12" t="s">
        <v>413</v>
      </c>
      <c r="HB129" s="131" t="str">
        <f t="shared" si="52"/>
        <v>No Mounting Bracket</v>
      </c>
    </row>
    <row r="130" spans="98:210" x14ac:dyDescent="0.3">
      <c r="CT130" s="3" t="str">
        <f t="shared" si="53"/>
        <v>Sprayed</v>
      </c>
      <c r="CU130" s="12" t="s">
        <v>16</v>
      </c>
      <c r="CV130" s="13" t="s">
        <v>313</v>
      </c>
      <c r="CW130" s="129" t="str">
        <f t="shared" si="54"/>
        <v>0T: Sable Classic Coat</v>
      </c>
      <c r="DJ130" s="12"/>
      <c r="DK130" s="12"/>
      <c r="DL130" s="12"/>
      <c r="DM130" s="14"/>
      <c r="DN130" s="129"/>
      <c r="EC130" s="14" t="s">
        <v>16</v>
      </c>
      <c r="ED130" s="12" t="s">
        <v>24</v>
      </c>
      <c r="EE130" s="12" t="s">
        <v>151</v>
      </c>
      <c r="EF130" s="129" t="s">
        <v>467</v>
      </c>
      <c r="FC130" s="14" t="s">
        <v>186</v>
      </c>
      <c r="FD130" s="14" t="s">
        <v>25</v>
      </c>
      <c r="FE130" s="129" t="s">
        <v>528</v>
      </c>
      <c r="GY130" s="12" t="s">
        <v>169</v>
      </c>
      <c r="GZ130" s="14" t="s">
        <v>16</v>
      </c>
      <c r="HA130" s="12" t="s">
        <v>419</v>
      </c>
      <c r="HB130" s="131" t="str">
        <f t="shared" si="52"/>
        <v>Ludwig Classic 9.5mm</v>
      </c>
    </row>
    <row r="131" spans="98:210" x14ac:dyDescent="0.3">
      <c r="CT131" s="3" t="str">
        <f t="shared" si="53"/>
        <v>Sprayed</v>
      </c>
      <c r="CU131" s="12" t="s">
        <v>15</v>
      </c>
      <c r="CV131" s="13" t="s">
        <v>315</v>
      </c>
      <c r="CW131" s="129" t="str">
        <f t="shared" si="54"/>
        <v>SY: Satin Charcoal</v>
      </c>
      <c r="DJ131" s="12"/>
      <c r="DK131" s="12"/>
      <c r="DL131" s="12"/>
      <c r="DM131" s="14"/>
      <c r="DN131" s="6"/>
      <c r="EC131" s="14" t="s">
        <v>16</v>
      </c>
      <c r="ED131" s="12" t="s">
        <v>24</v>
      </c>
      <c r="EE131" s="12" t="s">
        <v>157</v>
      </c>
      <c r="EF131" s="129" t="s">
        <v>468</v>
      </c>
      <c r="FC131" s="14" t="s">
        <v>189</v>
      </c>
      <c r="FD131" s="14" t="s">
        <v>22</v>
      </c>
      <c r="FE131" s="129" t="s">
        <v>519</v>
      </c>
      <c r="GY131" s="12" t="s">
        <v>169</v>
      </c>
      <c r="GZ131" s="14" t="s">
        <v>16</v>
      </c>
      <c r="HA131" s="12" t="s">
        <v>417</v>
      </c>
      <c r="HB131" s="131" t="str">
        <f t="shared" si="52"/>
        <v>Vibraband w/Ludwig 9.5mm</v>
      </c>
    </row>
    <row r="132" spans="98:210" x14ac:dyDescent="0.3">
      <c r="CT132" s="3" t="str">
        <f t="shared" ref="CT132:CT163" si="55">VLOOKUP(CV132,CN$4:CQ$68,3,FALSE)</f>
        <v>Sprayed</v>
      </c>
      <c r="CU132" s="12" t="s">
        <v>16</v>
      </c>
      <c r="CV132" s="13" t="s">
        <v>315</v>
      </c>
      <c r="CW132" s="129" t="str">
        <f t="shared" ref="CW132:CW163" si="56">VLOOKUP(CV132,$CN$4:$CR$68,5,FALSE)</f>
        <v>SY: Satin Charcoal</v>
      </c>
      <c r="DJ132" s="12"/>
      <c r="DK132" s="12"/>
      <c r="DL132" s="12"/>
      <c r="DM132" s="14"/>
      <c r="DN132" s="6"/>
      <c r="EC132" s="14" t="s">
        <v>16</v>
      </c>
      <c r="ED132" s="12" t="s">
        <v>24</v>
      </c>
      <c r="EE132" s="12" t="s">
        <v>163</v>
      </c>
      <c r="EF132" s="129" t="s">
        <v>469</v>
      </c>
      <c r="FC132" s="14" t="s">
        <v>189</v>
      </c>
      <c r="FD132" s="14" t="s">
        <v>26</v>
      </c>
      <c r="FE132" s="129" t="s">
        <v>515</v>
      </c>
      <c r="GY132" s="12" t="s">
        <v>169</v>
      </c>
      <c r="GZ132" s="14" t="s">
        <v>16</v>
      </c>
      <c r="HA132" s="12" t="s">
        <v>424</v>
      </c>
      <c r="HB132" s="131" t="str">
        <f t="shared" si="52"/>
        <v>Triad Bracket 12mm</v>
      </c>
    </row>
    <row r="133" spans="98:210" x14ac:dyDescent="0.3">
      <c r="CT133" s="3" t="str">
        <f t="shared" si="55"/>
        <v>Sprayed</v>
      </c>
      <c r="CU133" s="12" t="s">
        <v>15</v>
      </c>
      <c r="CV133" s="13" t="s">
        <v>317</v>
      </c>
      <c r="CW133" s="129" t="str">
        <f t="shared" si="56"/>
        <v>SL: Satin Cherry</v>
      </c>
      <c r="DJ133" s="12"/>
      <c r="DK133" s="12"/>
      <c r="DL133" s="12"/>
      <c r="DM133" s="14"/>
      <c r="DN133" s="6"/>
      <c r="EC133" s="14" t="s">
        <v>16</v>
      </c>
      <c r="ED133" s="12" t="s">
        <v>24</v>
      </c>
      <c r="EE133" s="12" t="s">
        <v>169</v>
      </c>
      <c r="EF133" s="129" t="s">
        <v>470</v>
      </c>
      <c r="FC133" s="14" t="s">
        <v>189</v>
      </c>
      <c r="FD133" s="14" t="s">
        <v>27</v>
      </c>
      <c r="FE133" s="129" t="s">
        <v>517</v>
      </c>
      <c r="GY133" s="12" t="s">
        <v>169</v>
      </c>
      <c r="GZ133" s="14" t="s">
        <v>16</v>
      </c>
      <c r="HA133" s="12" t="s">
        <v>418</v>
      </c>
      <c r="HB133" s="131" t="str">
        <f t="shared" si="52"/>
        <v>Vibraband w/Triad 12mm</v>
      </c>
    </row>
    <row r="134" spans="98:210" x14ac:dyDescent="0.3">
      <c r="CT134" s="3" t="str">
        <f t="shared" si="55"/>
        <v>Sprayed</v>
      </c>
      <c r="CU134" s="12" t="s">
        <v>16</v>
      </c>
      <c r="CV134" s="13" t="s">
        <v>317</v>
      </c>
      <c r="CW134" s="129" t="str">
        <f t="shared" si="56"/>
        <v>SL: Satin Cherry</v>
      </c>
      <c r="DJ134" s="12"/>
      <c r="DK134" s="12"/>
      <c r="DL134" s="12"/>
      <c r="DM134" s="14"/>
      <c r="DN134" s="6"/>
      <c r="EC134" s="14" t="s">
        <v>16</v>
      </c>
      <c r="ED134" s="12" t="s">
        <v>24</v>
      </c>
      <c r="EE134" s="12" t="s">
        <v>175</v>
      </c>
      <c r="EF134" s="129" t="s">
        <v>471</v>
      </c>
      <c r="FC134" s="14" t="s">
        <v>189</v>
      </c>
      <c r="FD134" s="14" t="s">
        <v>25</v>
      </c>
      <c r="FE134" s="129" t="s">
        <v>528</v>
      </c>
      <c r="GY134" s="12" t="s">
        <v>169</v>
      </c>
      <c r="GZ134" s="14" t="s">
        <v>22</v>
      </c>
      <c r="HA134" s="12" t="s">
        <v>413</v>
      </c>
      <c r="HB134" s="131" t="str">
        <f t="shared" si="52"/>
        <v>No Mounting Bracket</v>
      </c>
    </row>
    <row r="135" spans="98:210" x14ac:dyDescent="0.3">
      <c r="CT135" s="3" t="str">
        <f t="shared" si="55"/>
        <v>Sprayed</v>
      </c>
      <c r="CU135" s="12" t="s">
        <v>15</v>
      </c>
      <c r="CV135" s="13" t="s">
        <v>319</v>
      </c>
      <c r="CW135" s="129" t="str">
        <f t="shared" si="56"/>
        <v>SM: Satin Mahogany</v>
      </c>
      <c r="EC135" s="14" t="s">
        <v>16</v>
      </c>
      <c r="ED135" s="12" t="s">
        <v>24</v>
      </c>
      <c r="EE135" s="12" t="s">
        <v>176</v>
      </c>
      <c r="EF135" s="129" t="s">
        <v>472</v>
      </c>
      <c r="FC135" s="14" t="s">
        <v>193</v>
      </c>
      <c r="FD135" s="14" t="s">
        <v>26</v>
      </c>
      <c r="FE135" s="129" t="s">
        <v>515</v>
      </c>
      <c r="GY135" s="12" t="s">
        <v>169</v>
      </c>
      <c r="GZ135" s="14" t="s">
        <v>22</v>
      </c>
      <c r="HA135" s="12" t="s">
        <v>419</v>
      </c>
      <c r="HB135" s="131" t="str">
        <f t="shared" si="52"/>
        <v>Ludwig Classic 9.5mm</v>
      </c>
    </row>
    <row r="136" spans="98:210" x14ac:dyDescent="0.3">
      <c r="CT136" s="3" t="str">
        <f t="shared" si="55"/>
        <v>Sprayed</v>
      </c>
      <c r="CU136" s="12" t="s">
        <v>16</v>
      </c>
      <c r="CV136" s="13" t="s">
        <v>319</v>
      </c>
      <c r="CW136" s="129" t="str">
        <f t="shared" si="56"/>
        <v>SM: Satin Mahogany</v>
      </c>
      <c r="EC136" s="14" t="s">
        <v>16</v>
      </c>
      <c r="ED136" s="12" t="s">
        <v>24</v>
      </c>
      <c r="EE136" s="12" t="s">
        <v>178</v>
      </c>
      <c r="EF136" s="129" t="s">
        <v>473</v>
      </c>
      <c r="FC136" s="14" t="s">
        <v>193</v>
      </c>
      <c r="FD136" s="14" t="s">
        <v>27</v>
      </c>
      <c r="FE136" s="129" t="s">
        <v>517</v>
      </c>
      <c r="GY136" s="12" t="s">
        <v>169</v>
      </c>
      <c r="GZ136" s="14" t="s">
        <v>22</v>
      </c>
      <c r="HA136" s="12" t="s">
        <v>417</v>
      </c>
      <c r="HB136" s="131" t="str">
        <f t="shared" si="52"/>
        <v>Vibraband w/Ludwig 9.5mm</v>
      </c>
    </row>
    <row r="137" spans="98:210" x14ac:dyDescent="0.3">
      <c r="CT137" s="3" t="str">
        <f t="shared" si="55"/>
        <v>Sprayed</v>
      </c>
      <c r="CU137" s="12" t="s">
        <v>15</v>
      </c>
      <c r="CV137" s="13" t="s">
        <v>321</v>
      </c>
      <c r="CW137" s="129" t="str">
        <f t="shared" si="56"/>
        <v>SN: Satin Natural</v>
      </c>
      <c r="EC137" s="14" t="s">
        <v>16</v>
      </c>
      <c r="ED137" s="12" t="s">
        <v>24</v>
      </c>
      <c r="EE137" s="12" t="s">
        <v>179</v>
      </c>
      <c r="EF137" s="129" t="s">
        <v>474</v>
      </c>
      <c r="FC137" s="14" t="s">
        <v>193</v>
      </c>
      <c r="FD137" s="14" t="s">
        <v>24</v>
      </c>
      <c r="FE137" s="129" t="s">
        <v>516</v>
      </c>
      <c r="GY137" s="12" t="s">
        <v>169</v>
      </c>
      <c r="GZ137" s="14" t="s">
        <v>22</v>
      </c>
      <c r="HA137" s="12" t="s">
        <v>424</v>
      </c>
      <c r="HB137" s="131" t="str">
        <f t="shared" si="52"/>
        <v>Triad Bracket 12mm</v>
      </c>
    </row>
    <row r="138" spans="98:210" x14ac:dyDescent="0.3">
      <c r="CT138" s="3" t="str">
        <f t="shared" si="55"/>
        <v>Sprayed</v>
      </c>
      <c r="CU138" s="12" t="s">
        <v>16</v>
      </c>
      <c r="CV138" s="13" t="s">
        <v>321</v>
      </c>
      <c r="CW138" s="129" t="str">
        <f t="shared" si="56"/>
        <v>SN: Satin Natural</v>
      </c>
      <c r="DJ138" t="s">
        <v>1274</v>
      </c>
      <c r="EC138" s="14" t="s">
        <v>16</v>
      </c>
      <c r="ED138" s="12" t="s">
        <v>24</v>
      </c>
      <c r="EE138" s="12" t="s">
        <v>180</v>
      </c>
      <c r="EF138" s="129" t="s">
        <v>475</v>
      </c>
      <c r="FC138" s="14" t="s">
        <v>193</v>
      </c>
      <c r="FD138" s="14" t="s">
        <v>25</v>
      </c>
      <c r="FE138" s="129" t="s">
        <v>528</v>
      </c>
      <c r="GY138" s="12" t="s">
        <v>169</v>
      </c>
      <c r="GZ138" s="14" t="s">
        <v>22</v>
      </c>
      <c r="HA138" s="12" t="s">
        <v>418</v>
      </c>
      <c r="HB138" s="131" t="str">
        <f t="shared" ref="HB138:HB201" si="57">INDEX($GV$3:$GV$12,MATCH(HA138,$GU$3:$GU$12,0))</f>
        <v>Vibraband w/Triad 12mm</v>
      </c>
    </row>
    <row r="139" spans="98:210" x14ac:dyDescent="0.3">
      <c r="CT139" s="3" t="str">
        <f t="shared" si="55"/>
        <v>Wrap</v>
      </c>
      <c r="CU139" s="12" t="s">
        <v>15</v>
      </c>
      <c r="CV139" s="13" t="s">
        <v>371</v>
      </c>
      <c r="CW139" s="129" t="str">
        <f t="shared" si="56"/>
        <v>AG: Silver Silk</v>
      </c>
      <c r="DJ139" t="s">
        <v>1275</v>
      </c>
      <c r="EC139" s="14" t="s">
        <v>16</v>
      </c>
      <c r="ED139" s="12" t="s">
        <v>24</v>
      </c>
      <c r="EE139" s="12" t="s">
        <v>181</v>
      </c>
      <c r="EF139" s="129" t="s">
        <v>476</v>
      </c>
      <c r="FC139" s="14" t="s">
        <v>193</v>
      </c>
      <c r="FD139" s="14" t="s">
        <v>22</v>
      </c>
      <c r="FE139" s="129" t="s">
        <v>519</v>
      </c>
      <c r="GY139" s="12" t="s">
        <v>169</v>
      </c>
      <c r="GZ139" s="14" t="s">
        <v>22</v>
      </c>
      <c r="HA139" s="12" t="s">
        <v>425</v>
      </c>
      <c r="HB139" s="131" t="str">
        <f t="shared" si="57"/>
        <v>Atlas Mount 12mm</v>
      </c>
    </row>
    <row r="140" spans="98:210" x14ac:dyDescent="0.3">
      <c r="CT140" s="3" t="str">
        <f t="shared" si="55"/>
        <v>Wrap</v>
      </c>
      <c r="CU140" s="12" t="s">
        <v>16</v>
      </c>
      <c r="CV140" s="13" t="s">
        <v>371</v>
      </c>
      <c r="CW140" s="129" t="str">
        <f t="shared" si="56"/>
        <v>AG: Silver Silk</v>
      </c>
      <c r="DJ140" t="s">
        <v>1276</v>
      </c>
      <c r="EC140" s="14" t="s">
        <v>16</v>
      </c>
      <c r="ED140" s="12" t="s">
        <v>24</v>
      </c>
      <c r="EE140" s="12" t="s">
        <v>182</v>
      </c>
      <c r="EF140" s="129" t="s">
        <v>477</v>
      </c>
      <c r="FC140" s="14" t="s">
        <v>198</v>
      </c>
      <c r="FD140" s="14" t="s">
        <v>26</v>
      </c>
      <c r="FE140" s="129" t="s">
        <v>515</v>
      </c>
      <c r="GY140" s="12" t="s">
        <v>178</v>
      </c>
      <c r="GZ140" s="14" t="s">
        <v>518</v>
      </c>
      <c r="HA140" s="12" t="s">
        <v>413</v>
      </c>
      <c r="HB140" s="131" t="str">
        <f t="shared" si="57"/>
        <v>No Mounting Bracket</v>
      </c>
    </row>
    <row r="141" spans="98:210" x14ac:dyDescent="0.3">
      <c r="CT141" s="3" t="str">
        <f t="shared" si="55"/>
        <v>Wrap</v>
      </c>
      <c r="CU141" s="12" t="s">
        <v>17</v>
      </c>
      <c r="CV141" s="13" t="s">
        <v>371</v>
      </c>
      <c r="CW141" s="129" t="str">
        <f t="shared" si="56"/>
        <v>AG: Silver Silk</v>
      </c>
      <c r="EC141" s="14" t="s">
        <v>16</v>
      </c>
      <c r="ED141" s="12" t="s">
        <v>24</v>
      </c>
      <c r="EE141" s="12" t="s">
        <v>183</v>
      </c>
      <c r="EF141" s="129" t="s">
        <v>478</v>
      </c>
      <c r="FC141" s="14" t="s">
        <v>198</v>
      </c>
      <c r="FD141" s="14" t="s">
        <v>27</v>
      </c>
      <c r="FE141" s="129" t="s">
        <v>517</v>
      </c>
      <c r="GY141" s="12" t="s">
        <v>178</v>
      </c>
      <c r="GZ141" s="14" t="s">
        <v>518</v>
      </c>
      <c r="HA141" s="12" t="s">
        <v>419</v>
      </c>
      <c r="HB141" s="131" t="str">
        <f t="shared" si="57"/>
        <v>Ludwig Classic 9.5mm</v>
      </c>
    </row>
    <row r="142" spans="98:210" x14ac:dyDescent="0.3">
      <c r="CT142" s="3" t="str">
        <f t="shared" si="55"/>
        <v>Wrap</v>
      </c>
      <c r="CU142" s="12" t="s">
        <v>19</v>
      </c>
      <c r="CV142" s="13" t="s">
        <v>371</v>
      </c>
      <c r="CW142" s="129" t="str">
        <f t="shared" si="56"/>
        <v>AG: Silver Silk</v>
      </c>
      <c r="EC142" s="14" t="s">
        <v>16</v>
      </c>
      <c r="ED142" s="12" t="s">
        <v>24</v>
      </c>
      <c r="EE142" s="12" t="s">
        <v>184</v>
      </c>
      <c r="EF142" s="129" t="s">
        <v>479</v>
      </c>
      <c r="FC142" s="14" t="s">
        <v>198</v>
      </c>
      <c r="FD142" s="14" t="s">
        <v>24</v>
      </c>
      <c r="FE142" s="129" t="s">
        <v>516</v>
      </c>
      <c r="GY142" s="12" t="s">
        <v>178</v>
      </c>
      <c r="GZ142" s="14" t="s">
        <v>518</v>
      </c>
      <c r="HA142" s="12" t="s">
        <v>424</v>
      </c>
      <c r="HB142" s="131" t="str">
        <f t="shared" si="57"/>
        <v>Triad Bracket 12mm</v>
      </c>
    </row>
    <row r="143" spans="98:210" x14ac:dyDescent="0.3">
      <c r="CT143" s="3" t="str">
        <f t="shared" si="55"/>
        <v>Wrap</v>
      </c>
      <c r="CU143" s="12" t="s">
        <v>15</v>
      </c>
      <c r="CV143" s="13" t="s">
        <v>373</v>
      </c>
      <c r="CW143" s="129" t="str">
        <f t="shared" si="56"/>
        <v>0S: Silver Sparkle</v>
      </c>
      <c r="EC143" s="14" t="s">
        <v>17</v>
      </c>
      <c r="ED143" s="12" t="s">
        <v>66</v>
      </c>
      <c r="EE143" s="12" t="s">
        <v>45</v>
      </c>
      <c r="EF143" s="129" t="s">
        <v>490</v>
      </c>
      <c r="FC143" s="14" t="s">
        <v>198</v>
      </c>
      <c r="FD143" s="14" t="s">
        <v>25</v>
      </c>
      <c r="FE143" s="129" t="s">
        <v>528</v>
      </c>
      <c r="GY143" s="12" t="s">
        <v>178</v>
      </c>
      <c r="GZ143" s="14" t="s">
        <v>518</v>
      </c>
      <c r="HA143" s="12" t="s">
        <v>425</v>
      </c>
      <c r="HB143" s="131" t="str">
        <f t="shared" si="57"/>
        <v>Atlas Mount 12mm</v>
      </c>
    </row>
    <row r="144" spans="98:210" x14ac:dyDescent="0.3">
      <c r="CT144" s="3" t="str">
        <f t="shared" si="55"/>
        <v>Wrap</v>
      </c>
      <c r="CU144" s="12" t="s">
        <v>16</v>
      </c>
      <c r="CV144" s="13" t="s">
        <v>373</v>
      </c>
      <c r="CW144" s="129" t="str">
        <f t="shared" si="56"/>
        <v>0S: Silver Sparkle</v>
      </c>
      <c r="EC144" s="14" t="s">
        <v>17</v>
      </c>
      <c r="ED144" s="12" t="s">
        <v>66</v>
      </c>
      <c r="EE144" s="12" t="s">
        <v>49</v>
      </c>
      <c r="EF144" s="129" t="s">
        <v>491</v>
      </c>
      <c r="FC144" s="14" t="s">
        <v>198</v>
      </c>
      <c r="FD144" s="14" t="s">
        <v>22</v>
      </c>
      <c r="FE144" s="129" t="s">
        <v>519</v>
      </c>
      <c r="GY144" s="12" t="s">
        <v>178</v>
      </c>
      <c r="GZ144" s="14" t="s">
        <v>16</v>
      </c>
      <c r="HA144" s="12" t="s">
        <v>413</v>
      </c>
      <c r="HB144" s="131" t="str">
        <f t="shared" si="57"/>
        <v>No Mounting Bracket</v>
      </c>
    </row>
    <row r="145" spans="98:210" x14ac:dyDescent="0.3">
      <c r="CT145" s="3" t="str">
        <f t="shared" si="55"/>
        <v>Wrap</v>
      </c>
      <c r="CU145" s="12" t="s">
        <v>17</v>
      </c>
      <c r="CV145" s="13" t="s">
        <v>373</v>
      </c>
      <c r="CW145" s="129" t="str">
        <f t="shared" si="56"/>
        <v>0S: Silver Sparkle</v>
      </c>
      <c r="EC145" s="14" t="s">
        <v>17</v>
      </c>
      <c r="ED145" s="12" t="s">
        <v>66</v>
      </c>
      <c r="EE145" s="12" t="s">
        <v>51</v>
      </c>
      <c r="EF145" s="129" t="s">
        <v>492</v>
      </c>
      <c r="FC145" s="14" t="s">
        <v>194</v>
      </c>
      <c r="FD145" s="14" t="s">
        <v>24</v>
      </c>
      <c r="FE145" s="129" t="s">
        <v>516</v>
      </c>
      <c r="GY145" s="12" t="s">
        <v>178</v>
      </c>
      <c r="GZ145" s="14" t="s">
        <v>16</v>
      </c>
      <c r="HA145" s="12" t="s">
        <v>419</v>
      </c>
      <c r="HB145" s="131" t="str">
        <f t="shared" si="57"/>
        <v>Ludwig Classic 9.5mm</v>
      </c>
    </row>
    <row r="146" spans="98:210" x14ac:dyDescent="0.3">
      <c r="CT146" s="3" t="str">
        <f t="shared" si="55"/>
        <v>Wrap</v>
      </c>
      <c r="CU146" s="12" t="s">
        <v>19</v>
      </c>
      <c r="CV146" s="13" t="s">
        <v>373</v>
      </c>
      <c r="CW146" s="129" t="str">
        <f t="shared" si="56"/>
        <v>0S: Silver Sparkle</v>
      </c>
      <c r="EC146" s="14" t="s">
        <v>17</v>
      </c>
      <c r="ED146" s="12" t="s">
        <v>66</v>
      </c>
      <c r="EE146" s="12" t="s">
        <v>54</v>
      </c>
      <c r="EF146" s="129" t="s">
        <v>493</v>
      </c>
      <c r="FC146" s="14" t="s">
        <v>194</v>
      </c>
      <c r="FD146" s="14" t="s">
        <v>22</v>
      </c>
      <c r="FE146" s="129" t="s">
        <v>519</v>
      </c>
      <c r="GY146" s="12" t="s">
        <v>178</v>
      </c>
      <c r="GZ146" s="14" t="s">
        <v>16</v>
      </c>
      <c r="HA146" s="12" t="s">
        <v>424</v>
      </c>
      <c r="HB146" s="131" t="str">
        <f t="shared" si="57"/>
        <v>Triad Bracket 12mm</v>
      </c>
    </row>
    <row r="147" spans="98:210" x14ac:dyDescent="0.3">
      <c r="CT147" s="3" t="str">
        <f t="shared" si="55"/>
        <v>Wrap</v>
      </c>
      <c r="CU147" s="12" t="s">
        <v>15</v>
      </c>
      <c r="CV147" s="13" t="s">
        <v>375</v>
      </c>
      <c r="CW147" s="129" t="str">
        <f t="shared" si="56"/>
        <v>52: Sky Blue Pearl</v>
      </c>
      <c r="EC147" s="14" t="s">
        <v>17</v>
      </c>
      <c r="ED147" s="12" t="s">
        <v>66</v>
      </c>
      <c r="EE147" s="12" t="s">
        <v>58</v>
      </c>
      <c r="EF147" s="129" t="s">
        <v>494</v>
      </c>
      <c r="FC147" s="14" t="s">
        <v>194</v>
      </c>
      <c r="FD147" s="14" t="s">
        <v>25</v>
      </c>
      <c r="FE147" s="129" t="s">
        <v>528</v>
      </c>
      <c r="GY147" s="12" t="s">
        <v>178</v>
      </c>
      <c r="GZ147" s="14" t="s">
        <v>22</v>
      </c>
      <c r="HA147" s="12" t="s">
        <v>413</v>
      </c>
      <c r="HB147" s="131" t="str">
        <f t="shared" si="57"/>
        <v>No Mounting Bracket</v>
      </c>
    </row>
    <row r="148" spans="98:210" x14ac:dyDescent="0.3">
      <c r="CT148" s="3" t="str">
        <f t="shared" si="55"/>
        <v>Wrap</v>
      </c>
      <c r="CU148" s="12" t="s">
        <v>16</v>
      </c>
      <c r="CV148" s="13" t="s">
        <v>375</v>
      </c>
      <c r="CW148" s="129" t="str">
        <f t="shared" si="56"/>
        <v>52: Sky Blue Pearl</v>
      </c>
      <c r="EC148" s="14" t="s">
        <v>17</v>
      </c>
      <c r="ED148" s="12" t="s">
        <v>66</v>
      </c>
      <c r="EE148" s="12" t="s">
        <v>62</v>
      </c>
      <c r="EF148" s="129" t="s">
        <v>495</v>
      </c>
      <c r="FC148" s="14" t="s">
        <v>144</v>
      </c>
      <c r="FD148" s="14" t="s">
        <v>22</v>
      </c>
      <c r="FE148" s="129" t="s">
        <v>519</v>
      </c>
      <c r="GY148" s="12" t="s">
        <v>178</v>
      </c>
      <c r="GZ148" s="14" t="s">
        <v>22</v>
      </c>
      <c r="HA148" s="12" t="s">
        <v>419</v>
      </c>
      <c r="HB148" s="131" t="str">
        <f t="shared" si="57"/>
        <v>Ludwig Classic 9.5mm</v>
      </c>
    </row>
    <row r="149" spans="98:210" x14ac:dyDescent="0.3">
      <c r="CT149" s="3" t="str">
        <f t="shared" si="55"/>
        <v>Wrap</v>
      </c>
      <c r="CU149" s="12" t="s">
        <v>17</v>
      </c>
      <c r="CV149" s="13" t="s">
        <v>375</v>
      </c>
      <c r="CW149" s="129" t="str">
        <f t="shared" si="56"/>
        <v>52: Sky Blue Pearl</v>
      </c>
      <c r="EC149" s="14" t="s">
        <v>17</v>
      </c>
      <c r="ED149" s="12" t="s">
        <v>66</v>
      </c>
      <c r="EE149" s="12" t="s">
        <v>64</v>
      </c>
      <c r="EF149" s="129" t="s">
        <v>496</v>
      </c>
      <c r="FC149" s="14" t="s">
        <v>144</v>
      </c>
      <c r="FD149" s="14" t="s">
        <v>518</v>
      </c>
      <c r="FE149" s="129" t="s">
        <v>1337</v>
      </c>
      <c r="GY149" s="12" t="s">
        <v>178</v>
      </c>
      <c r="GZ149" s="14" t="s">
        <v>22</v>
      </c>
      <c r="HA149" s="12" t="s">
        <v>424</v>
      </c>
      <c r="HB149" s="131" t="str">
        <f t="shared" si="57"/>
        <v>Triad Bracket 12mm</v>
      </c>
    </row>
    <row r="150" spans="98:210" x14ac:dyDescent="0.3">
      <c r="CT150" s="3" t="str">
        <f t="shared" si="55"/>
        <v>Wrap</v>
      </c>
      <c r="CU150" s="12" t="s">
        <v>19</v>
      </c>
      <c r="CV150" s="13" t="s">
        <v>375</v>
      </c>
      <c r="CW150" s="129" t="str">
        <f t="shared" si="56"/>
        <v>52: Sky Blue Pearl</v>
      </c>
      <c r="EC150" s="14" t="s">
        <v>17</v>
      </c>
      <c r="ED150" s="12" t="s">
        <v>66</v>
      </c>
      <c r="EE150" s="12" t="s">
        <v>68</v>
      </c>
      <c r="EF150" s="129" t="s">
        <v>497</v>
      </c>
      <c r="FC150" s="14" t="s">
        <v>144</v>
      </c>
      <c r="FD150" s="14" t="s">
        <v>16</v>
      </c>
      <c r="FE150" s="129" t="s">
        <v>1338</v>
      </c>
      <c r="GY150" s="12" t="s">
        <v>178</v>
      </c>
      <c r="GZ150" s="14" t="s">
        <v>22</v>
      </c>
      <c r="HA150" s="12" t="s">
        <v>425</v>
      </c>
      <c r="HB150" s="131" t="str">
        <f t="shared" si="57"/>
        <v>Atlas Mount 12mm</v>
      </c>
    </row>
    <row r="151" spans="98:210" x14ac:dyDescent="0.3">
      <c r="CT151" s="3" t="str">
        <f t="shared" si="55"/>
        <v>Sprayed</v>
      </c>
      <c r="CU151" s="12" t="s">
        <v>19</v>
      </c>
      <c r="CV151" s="13" t="s">
        <v>322</v>
      </c>
      <c r="CW151" s="129" t="str">
        <f t="shared" si="56"/>
        <v>SK: Smoke</v>
      </c>
      <c r="EC151" s="14" t="s">
        <v>17</v>
      </c>
      <c r="ED151" s="12" t="s">
        <v>66</v>
      </c>
      <c r="EE151" s="12" t="s">
        <v>67</v>
      </c>
      <c r="EF151" s="129" t="s">
        <v>498</v>
      </c>
      <c r="FC151" s="14" t="s">
        <v>148</v>
      </c>
      <c r="FD151" s="14" t="s">
        <v>22</v>
      </c>
      <c r="FE151" s="129" t="s">
        <v>519</v>
      </c>
      <c r="GY151" s="12" t="s">
        <v>175</v>
      </c>
      <c r="GZ151" s="14" t="s">
        <v>518</v>
      </c>
      <c r="HA151" s="12" t="s">
        <v>413</v>
      </c>
      <c r="HB151" s="131" t="str">
        <f t="shared" si="57"/>
        <v>No Mounting Bracket</v>
      </c>
    </row>
    <row r="152" spans="98:210" x14ac:dyDescent="0.3">
      <c r="CT152" s="3" t="str">
        <f t="shared" si="55"/>
        <v>Wrap</v>
      </c>
      <c r="CU152" s="12" t="s">
        <v>15</v>
      </c>
      <c r="CV152" s="13" t="s">
        <v>1352</v>
      </c>
      <c r="CW152" s="129" t="str">
        <f t="shared" si="56"/>
        <v>A7: Steel Blue Pearl</v>
      </c>
      <c r="EC152" s="14" t="s">
        <v>17</v>
      </c>
      <c r="ED152" s="12" t="s">
        <v>66</v>
      </c>
      <c r="EE152" s="12" t="s">
        <v>71</v>
      </c>
      <c r="EF152" s="129" t="s">
        <v>499</v>
      </c>
      <c r="FC152" s="14" t="s">
        <v>148</v>
      </c>
      <c r="FD152" s="14" t="s">
        <v>518</v>
      </c>
      <c r="FE152" s="129" t="s">
        <v>1337</v>
      </c>
      <c r="GY152" s="12" t="s">
        <v>175</v>
      </c>
      <c r="GZ152" s="14" t="s">
        <v>518</v>
      </c>
      <c r="HA152" s="12" t="s">
        <v>419</v>
      </c>
      <c r="HB152" s="131" t="str">
        <f t="shared" si="57"/>
        <v>Ludwig Classic 9.5mm</v>
      </c>
    </row>
    <row r="153" spans="98:210" x14ac:dyDescent="0.3">
      <c r="CT153" s="3" t="str">
        <f t="shared" si="55"/>
        <v>Wrap</v>
      </c>
      <c r="CU153" s="12" t="s">
        <v>16</v>
      </c>
      <c r="CV153" s="13" t="s">
        <v>1352</v>
      </c>
      <c r="CW153" s="129" t="str">
        <f t="shared" si="56"/>
        <v>A7: Steel Blue Pearl</v>
      </c>
      <c r="EC153" s="14" t="s">
        <v>17</v>
      </c>
      <c r="ED153" s="12" t="s">
        <v>66</v>
      </c>
      <c r="EE153" s="12" t="s">
        <v>74</v>
      </c>
      <c r="EF153" s="129" t="s">
        <v>500</v>
      </c>
      <c r="FC153" s="14" t="s">
        <v>148</v>
      </c>
      <c r="FD153" s="14" t="s">
        <v>16</v>
      </c>
      <c r="FE153" s="129" t="s">
        <v>1338</v>
      </c>
      <c r="GY153" s="12" t="s">
        <v>175</v>
      </c>
      <c r="GZ153" s="14" t="s">
        <v>518</v>
      </c>
      <c r="HA153" s="12" t="s">
        <v>417</v>
      </c>
      <c r="HB153" s="131" t="str">
        <f t="shared" si="57"/>
        <v>Vibraband w/Ludwig 9.5mm</v>
      </c>
    </row>
    <row r="154" spans="98:210" x14ac:dyDescent="0.3">
      <c r="CT154" s="3" t="str">
        <f t="shared" si="55"/>
        <v>Wrap</v>
      </c>
      <c r="CU154" s="12" t="s">
        <v>17</v>
      </c>
      <c r="CV154" s="13" t="s">
        <v>1352</v>
      </c>
      <c r="CW154" s="129" t="str">
        <f t="shared" si="56"/>
        <v>A7: Steel Blue Pearl</v>
      </c>
      <c r="EC154" s="14" t="s">
        <v>17</v>
      </c>
      <c r="ED154" s="12" t="s">
        <v>66</v>
      </c>
      <c r="EE154" s="12" t="s">
        <v>77</v>
      </c>
      <c r="EF154" s="129" t="s">
        <v>501</v>
      </c>
      <c r="FC154" s="14" t="s">
        <v>157</v>
      </c>
      <c r="FD154" s="14" t="s">
        <v>22</v>
      </c>
      <c r="FE154" s="129" t="s">
        <v>519</v>
      </c>
      <c r="GY154" s="12" t="s">
        <v>175</v>
      </c>
      <c r="GZ154" s="14" t="s">
        <v>518</v>
      </c>
      <c r="HA154" s="12" t="s">
        <v>424</v>
      </c>
      <c r="HB154" s="131" t="str">
        <f t="shared" si="57"/>
        <v>Triad Bracket 12mm</v>
      </c>
    </row>
    <row r="155" spans="98:210" x14ac:dyDescent="0.3">
      <c r="CT155" s="3" t="str">
        <f t="shared" si="55"/>
        <v>Wrap</v>
      </c>
      <c r="CU155" s="12" t="s">
        <v>19</v>
      </c>
      <c r="CV155" s="13" t="s">
        <v>1352</v>
      </c>
      <c r="CW155" s="129" t="str">
        <f t="shared" si="56"/>
        <v>A7: Steel Blue Pearl</v>
      </c>
      <c r="EC155" s="14" t="s">
        <v>17</v>
      </c>
      <c r="ED155" s="12" t="s">
        <v>66</v>
      </c>
      <c r="EE155" s="12" t="s">
        <v>81</v>
      </c>
      <c r="EF155" s="129" t="s">
        <v>502</v>
      </c>
      <c r="FC155" s="14" t="s">
        <v>157</v>
      </c>
      <c r="FD155" s="14" t="s">
        <v>518</v>
      </c>
      <c r="FE155" s="129" t="s">
        <v>1337</v>
      </c>
      <c r="GY155" s="12" t="s">
        <v>175</v>
      </c>
      <c r="GZ155" s="14" t="s">
        <v>518</v>
      </c>
      <c r="HA155" s="12" t="s">
        <v>418</v>
      </c>
      <c r="HB155" s="131" t="str">
        <f t="shared" si="57"/>
        <v>Vibraband w/Triad 12mm</v>
      </c>
    </row>
    <row r="156" spans="98:210" x14ac:dyDescent="0.3">
      <c r="CT156" s="3" t="str">
        <f t="shared" si="55"/>
        <v>Sprayed</v>
      </c>
      <c r="CU156" s="12" t="s">
        <v>19</v>
      </c>
      <c r="CV156" s="13" t="s">
        <v>324</v>
      </c>
      <c r="CW156" s="129" t="str">
        <f t="shared" si="56"/>
        <v>TW: Tennessee Whiskey</v>
      </c>
      <c r="EC156" s="14" t="s">
        <v>17</v>
      </c>
      <c r="ED156" s="12" t="s">
        <v>66</v>
      </c>
      <c r="EE156" s="12" t="s">
        <v>83</v>
      </c>
      <c r="EF156" s="129" t="s">
        <v>503</v>
      </c>
      <c r="FC156" s="14" t="s">
        <v>157</v>
      </c>
      <c r="FD156" s="14" t="s">
        <v>16</v>
      </c>
      <c r="FE156" s="129" t="s">
        <v>1338</v>
      </c>
      <c r="GY156" s="12" t="s">
        <v>175</v>
      </c>
      <c r="GZ156" s="14" t="s">
        <v>518</v>
      </c>
      <c r="HA156" s="12" t="s">
        <v>425</v>
      </c>
      <c r="HB156" s="131" t="str">
        <f t="shared" si="57"/>
        <v>Atlas Mount 12mm</v>
      </c>
    </row>
    <row r="157" spans="98:210" x14ac:dyDescent="0.3">
      <c r="CT157" s="3" t="str">
        <f t="shared" si="55"/>
        <v>Wrap</v>
      </c>
      <c r="CU157" s="12" t="s">
        <v>15</v>
      </c>
      <c r="CV157" s="13" t="s">
        <v>282</v>
      </c>
      <c r="CW157" s="129" t="str">
        <f t="shared" si="56"/>
        <v>S1: Titanium Super Sparkle</v>
      </c>
      <c r="EC157" s="14" t="s">
        <v>17</v>
      </c>
      <c r="ED157" s="12" t="s">
        <v>66</v>
      </c>
      <c r="EE157" s="12" t="s">
        <v>85</v>
      </c>
      <c r="EF157" s="129" t="s">
        <v>504</v>
      </c>
      <c r="FC157" s="14" t="s">
        <v>146</v>
      </c>
      <c r="FD157" s="14" t="s">
        <v>22</v>
      </c>
      <c r="FE157" s="129" t="s">
        <v>519</v>
      </c>
      <c r="GY157" s="12" t="s">
        <v>175</v>
      </c>
      <c r="GZ157" s="14" t="s">
        <v>16</v>
      </c>
      <c r="HA157" s="12" t="s">
        <v>413</v>
      </c>
      <c r="HB157" s="131" t="str">
        <f t="shared" si="57"/>
        <v>No Mounting Bracket</v>
      </c>
    </row>
    <row r="158" spans="98:210" x14ac:dyDescent="0.3">
      <c r="CT158" s="3" t="str">
        <f t="shared" si="55"/>
        <v>Wrap</v>
      </c>
      <c r="CU158" s="12" t="s">
        <v>16</v>
      </c>
      <c r="CV158" s="13" t="s">
        <v>282</v>
      </c>
      <c r="CW158" s="129" t="str">
        <f t="shared" si="56"/>
        <v>S1: Titanium Super Sparkle</v>
      </c>
      <c r="EC158" s="14" t="s">
        <v>17</v>
      </c>
      <c r="ED158" s="12" t="s">
        <v>66</v>
      </c>
      <c r="EE158" s="12" t="s">
        <v>88</v>
      </c>
      <c r="EF158" s="129" t="s">
        <v>505</v>
      </c>
      <c r="FC158" s="14" t="s">
        <v>146</v>
      </c>
      <c r="FD158" s="14" t="s">
        <v>518</v>
      </c>
      <c r="FE158" s="129" t="s">
        <v>1337</v>
      </c>
      <c r="GY158" s="12" t="s">
        <v>175</v>
      </c>
      <c r="GZ158" s="14" t="s">
        <v>16</v>
      </c>
      <c r="HA158" s="12" t="s">
        <v>419</v>
      </c>
      <c r="HB158" s="131" t="str">
        <f t="shared" si="57"/>
        <v>Ludwig Classic 9.5mm</v>
      </c>
    </row>
    <row r="159" spans="98:210" x14ac:dyDescent="0.3">
      <c r="CT159" s="3" t="str">
        <f t="shared" si="55"/>
        <v>Wrap</v>
      </c>
      <c r="CU159" s="12" t="s">
        <v>17</v>
      </c>
      <c r="CV159" s="13" t="s">
        <v>282</v>
      </c>
      <c r="CW159" s="129" t="str">
        <f t="shared" si="56"/>
        <v>S1: Titanium Super Sparkle</v>
      </c>
      <c r="EC159" s="14" t="s">
        <v>17</v>
      </c>
      <c r="ED159" s="12" t="s">
        <v>66</v>
      </c>
      <c r="EE159" s="12" t="s">
        <v>90</v>
      </c>
      <c r="EF159" s="129" t="s">
        <v>506</v>
      </c>
      <c r="FC159" s="14" t="s">
        <v>146</v>
      </c>
      <c r="FD159" s="14" t="s">
        <v>16</v>
      </c>
      <c r="FE159" s="129" t="s">
        <v>1338</v>
      </c>
      <c r="GY159" s="12" t="s">
        <v>175</v>
      </c>
      <c r="GZ159" s="14" t="s">
        <v>16</v>
      </c>
      <c r="HA159" s="12" t="s">
        <v>417</v>
      </c>
      <c r="HB159" s="131" t="str">
        <f t="shared" si="57"/>
        <v>Vibraband w/Ludwig 9.5mm</v>
      </c>
    </row>
    <row r="160" spans="98:210" x14ac:dyDescent="0.3">
      <c r="CT160" s="3" t="str">
        <f t="shared" si="55"/>
        <v>Wrap</v>
      </c>
      <c r="CU160" s="12" t="s">
        <v>19</v>
      </c>
      <c r="CV160" s="13" t="s">
        <v>282</v>
      </c>
      <c r="CW160" s="129" t="str">
        <f t="shared" si="56"/>
        <v>S1: Titanium Super Sparkle</v>
      </c>
      <c r="EC160" s="14" t="s">
        <v>17</v>
      </c>
      <c r="ED160" s="12" t="s">
        <v>66</v>
      </c>
      <c r="EE160" s="12" t="s">
        <v>93</v>
      </c>
      <c r="EF160" s="129" t="s">
        <v>507</v>
      </c>
      <c r="FC160" s="14" t="s">
        <v>149</v>
      </c>
      <c r="FD160" s="14" t="s">
        <v>22</v>
      </c>
      <c r="FE160" s="129" t="s">
        <v>519</v>
      </c>
      <c r="GY160" s="12" t="s">
        <v>175</v>
      </c>
      <c r="GZ160" s="14" t="s">
        <v>16</v>
      </c>
      <c r="HA160" s="12" t="s">
        <v>424</v>
      </c>
      <c r="HB160" s="131" t="str">
        <f t="shared" si="57"/>
        <v>Triad Bracket 12mm</v>
      </c>
    </row>
    <row r="161" spans="98:210" x14ac:dyDescent="0.3">
      <c r="CT161" s="3" t="str">
        <f t="shared" si="55"/>
        <v>Wrap</v>
      </c>
      <c r="CU161" s="12" t="s">
        <v>15</v>
      </c>
      <c r="CV161" s="13" t="s">
        <v>378</v>
      </c>
      <c r="CW161" s="129" t="str">
        <f t="shared" si="56"/>
        <v>1Q: Vintage Black Oyster</v>
      </c>
      <c r="EC161" s="14" t="s">
        <v>17</v>
      </c>
      <c r="ED161" s="12" t="s">
        <v>66</v>
      </c>
      <c r="EE161" s="12" t="s">
        <v>95</v>
      </c>
      <c r="EF161" s="129" t="s">
        <v>508</v>
      </c>
      <c r="FC161" s="14" t="s">
        <v>149</v>
      </c>
      <c r="FD161" s="14" t="s">
        <v>518</v>
      </c>
      <c r="FE161" s="129" t="s">
        <v>1337</v>
      </c>
      <c r="GY161" s="12" t="s">
        <v>175</v>
      </c>
      <c r="GZ161" s="14" t="s">
        <v>16</v>
      </c>
      <c r="HA161" s="12" t="s">
        <v>418</v>
      </c>
      <c r="HB161" s="131" t="str">
        <f t="shared" si="57"/>
        <v>Vibraband w/Triad 12mm</v>
      </c>
    </row>
    <row r="162" spans="98:210" x14ac:dyDescent="0.3">
      <c r="CT162" s="3" t="str">
        <f t="shared" si="55"/>
        <v>Wrap</v>
      </c>
      <c r="CU162" s="12" t="s">
        <v>16</v>
      </c>
      <c r="CV162" s="13" t="s">
        <v>378</v>
      </c>
      <c r="CW162" s="129" t="str">
        <f t="shared" si="56"/>
        <v>1Q: Vintage Black Oyster</v>
      </c>
      <c r="EC162" s="14" t="s">
        <v>17</v>
      </c>
      <c r="ED162" s="12" t="s">
        <v>66</v>
      </c>
      <c r="EE162" s="12" t="s">
        <v>100</v>
      </c>
      <c r="EF162" s="129" t="s">
        <v>509</v>
      </c>
      <c r="FC162" s="14" t="s">
        <v>149</v>
      </c>
      <c r="FD162" s="14" t="s">
        <v>16</v>
      </c>
      <c r="FE162" s="129" t="s">
        <v>1338</v>
      </c>
      <c r="GY162" s="12" t="s">
        <v>175</v>
      </c>
      <c r="GZ162" s="14" t="s">
        <v>22</v>
      </c>
      <c r="HA162" s="12" t="s">
        <v>413</v>
      </c>
      <c r="HB162" s="131" t="str">
        <f t="shared" si="57"/>
        <v>No Mounting Bracket</v>
      </c>
    </row>
    <row r="163" spans="98:210" x14ac:dyDescent="0.3">
      <c r="CT163" s="3" t="str">
        <f t="shared" si="55"/>
        <v>Wrap</v>
      </c>
      <c r="CU163" s="12" t="s">
        <v>17</v>
      </c>
      <c r="CV163" s="13" t="s">
        <v>378</v>
      </c>
      <c r="CW163" s="129" t="str">
        <f t="shared" si="56"/>
        <v>1Q: Vintage Black Oyster</v>
      </c>
      <c r="EC163" s="14" t="s">
        <v>17</v>
      </c>
      <c r="ED163" s="12" t="s">
        <v>66</v>
      </c>
      <c r="EE163" s="12" t="s">
        <v>104</v>
      </c>
      <c r="EF163" s="129" t="s">
        <v>510</v>
      </c>
      <c r="FC163" s="14" t="s">
        <v>163</v>
      </c>
      <c r="FD163" s="14" t="s">
        <v>22</v>
      </c>
      <c r="FE163" s="129" t="s">
        <v>519</v>
      </c>
      <c r="GY163" s="12" t="s">
        <v>175</v>
      </c>
      <c r="GZ163" s="14" t="s">
        <v>22</v>
      </c>
      <c r="HA163" s="12" t="s">
        <v>419</v>
      </c>
      <c r="HB163" s="131" t="str">
        <f t="shared" si="57"/>
        <v>Ludwig Classic 9.5mm</v>
      </c>
    </row>
    <row r="164" spans="98:210" x14ac:dyDescent="0.3">
      <c r="CT164" s="3" t="str">
        <f t="shared" ref="CT164:CT187" si="58">VLOOKUP(CV164,CN$4:CQ$68,3,FALSE)</f>
        <v>Wrap</v>
      </c>
      <c r="CU164" s="12" t="s">
        <v>19</v>
      </c>
      <c r="CV164" s="13" t="s">
        <v>378</v>
      </c>
      <c r="CW164" s="129" t="str">
        <f t="shared" ref="CW164:CW187" si="59">VLOOKUP(CV164,$CN$4:$CR$68,5,FALSE)</f>
        <v>1Q: Vintage Black Oyster</v>
      </c>
      <c r="EC164" s="14" t="s">
        <v>17</v>
      </c>
      <c r="ED164" s="12" t="s">
        <v>73</v>
      </c>
      <c r="EE164" s="12" t="s">
        <v>110</v>
      </c>
      <c r="EF164" s="129" t="s">
        <v>480</v>
      </c>
      <c r="FC164" s="14" t="s">
        <v>163</v>
      </c>
      <c r="FD164" s="14" t="s">
        <v>518</v>
      </c>
      <c r="FE164" s="129" t="s">
        <v>1337</v>
      </c>
      <c r="GY164" s="12" t="s">
        <v>175</v>
      </c>
      <c r="GZ164" s="14" t="s">
        <v>22</v>
      </c>
      <c r="HA164" s="12" t="s">
        <v>417</v>
      </c>
      <c r="HB164" s="131" t="str">
        <f t="shared" si="57"/>
        <v>Vibraband w/Ludwig 9.5mm</v>
      </c>
    </row>
    <row r="165" spans="98:210" x14ac:dyDescent="0.3">
      <c r="CT165" s="3" t="str">
        <f t="shared" si="58"/>
        <v>Wrap</v>
      </c>
      <c r="CU165" s="12" t="s">
        <v>15</v>
      </c>
      <c r="CV165" s="13" t="s">
        <v>380</v>
      </c>
      <c r="CW165" s="129" t="str">
        <f t="shared" si="59"/>
        <v>2Q: Vintage Blue Oyster</v>
      </c>
      <c r="EC165" s="14" t="s">
        <v>17</v>
      </c>
      <c r="ED165" s="12" t="s">
        <v>73</v>
      </c>
      <c r="EE165" s="12" t="s">
        <v>113</v>
      </c>
      <c r="EF165" s="129" t="s">
        <v>481</v>
      </c>
      <c r="FC165" s="14" t="s">
        <v>163</v>
      </c>
      <c r="FD165" s="14" t="s">
        <v>16</v>
      </c>
      <c r="FE165" s="129" t="s">
        <v>1338</v>
      </c>
      <c r="GY165" s="12" t="s">
        <v>175</v>
      </c>
      <c r="GZ165" s="14" t="s">
        <v>22</v>
      </c>
      <c r="HA165" s="12" t="s">
        <v>424</v>
      </c>
      <c r="HB165" s="131" t="str">
        <f t="shared" si="57"/>
        <v>Triad Bracket 12mm</v>
      </c>
    </row>
    <row r="166" spans="98:210" x14ac:dyDescent="0.3">
      <c r="CT166" s="3" t="str">
        <f t="shared" si="58"/>
        <v>Wrap</v>
      </c>
      <c r="CU166" s="12" t="s">
        <v>16</v>
      </c>
      <c r="CV166" s="13" t="s">
        <v>380</v>
      </c>
      <c r="CW166" s="129" t="str">
        <f t="shared" si="59"/>
        <v>2Q: Vintage Blue Oyster</v>
      </c>
      <c r="EC166" s="14" t="s">
        <v>17</v>
      </c>
      <c r="ED166" s="12" t="s">
        <v>73</v>
      </c>
      <c r="EE166" s="12" t="s">
        <v>116</v>
      </c>
      <c r="EF166" s="129" t="s">
        <v>482</v>
      </c>
      <c r="FC166" s="14" t="s">
        <v>150</v>
      </c>
      <c r="FD166" s="14" t="s">
        <v>22</v>
      </c>
      <c r="FE166" s="129" t="s">
        <v>519</v>
      </c>
      <c r="GY166" s="12" t="s">
        <v>175</v>
      </c>
      <c r="GZ166" s="14" t="s">
        <v>22</v>
      </c>
      <c r="HA166" s="12" t="s">
        <v>418</v>
      </c>
      <c r="HB166" s="131" t="str">
        <f t="shared" si="57"/>
        <v>Vibraband w/Triad 12mm</v>
      </c>
    </row>
    <row r="167" spans="98:210" x14ac:dyDescent="0.3">
      <c r="CT167" s="3" t="str">
        <f t="shared" si="58"/>
        <v>Wrap</v>
      </c>
      <c r="CU167" s="12" t="s">
        <v>17</v>
      </c>
      <c r="CV167" s="13" t="s">
        <v>380</v>
      </c>
      <c r="CW167" s="129" t="str">
        <f t="shared" si="59"/>
        <v>2Q: Vintage Blue Oyster</v>
      </c>
      <c r="EC167" s="14" t="s">
        <v>17</v>
      </c>
      <c r="ED167" s="12" t="s">
        <v>73</v>
      </c>
      <c r="EE167" s="12" t="s">
        <v>118</v>
      </c>
      <c r="EF167" s="129" t="s">
        <v>483</v>
      </c>
      <c r="FC167" s="14" t="s">
        <v>150</v>
      </c>
      <c r="FD167" s="14" t="s">
        <v>518</v>
      </c>
      <c r="FE167" s="129" t="s">
        <v>1337</v>
      </c>
      <c r="GY167" s="12" t="s">
        <v>175</v>
      </c>
      <c r="GZ167" s="14" t="s">
        <v>22</v>
      </c>
      <c r="HA167" s="12" t="s">
        <v>425</v>
      </c>
      <c r="HB167" s="131" t="str">
        <f t="shared" si="57"/>
        <v>Atlas Mount 12mm</v>
      </c>
    </row>
    <row r="168" spans="98:210" x14ac:dyDescent="0.3">
      <c r="CT168" s="3" t="str">
        <f t="shared" si="58"/>
        <v>Wrap</v>
      </c>
      <c r="CU168" s="12" t="s">
        <v>19</v>
      </c>
      <c r="CV168" s="13" t="s">
        <v>380</v>
      </c>
      <c r="CW168" s="129" t="str">
        <f t="shared" si="59"/>
        <v>2Q: Vintage Blue Oyster</v>
      </c>
      <c r="EC168" s="14" t="s">
        <v>17</v>
      </c>
      <c r="ED168" s="12" t="s">
        <v>73</v>
      </c>
      <c r="EE168" s="12" t="s">
        <v>122</v>
      </c>
      <c r="EF168" s="129" t="s">
        <v>484</v>
      </c>
      <c r="FC168" s="14" t="s">
        <v>150</v>
      </c>
      <c r="FD168" s="14" t="s">
        <v>16</v>
      </c>
      <c r="FE168" s="129" t="s">
        <v>1338</v>
      </c>
      <c r="GY168" s="12" t="s">
        <v>179</v>
      </c>
      <c r="GZ168" s="14" t="s">
        <v>518</v>
      </c>
      <c r="HA168" s="12" t="s">
        <v>413</v>
      </c>
      <c r="HB168" s="131" t="str">
        <f t="shared" si="57"/>
        <v>No Mounting Bracket</v>
      </c>
    </row>
    <row r="169" spans="98:210" x14ac:dyDescent="0.3">
      <c r="CT169" s="3" t="str">
        <f t="shared" si="58"/>
        <v>Sprayed</v>
      </c>
      <c r="CU169" s="12" t="s">
        <v>15</v>
      </c>
      <c r="CV169" s="13" t="s">
        <v>326</v>
      </c>
      <c r="CW169" s="129" t="str">
        <f t="shared" si="59"/>
        <v>VB: Vintage Bronze</v>
      </c>
      <c r="EC169" s="14" t="s">
        <v>17</v>
      </c>
      <c r="ED169" s="12" t="s">
        <v>73</v>
      </c>
      <c r="EE169" s="12" t="s">
        <v>125</v>
      </c>
      <c r="EF169" s="129" t="s">
        <v>485</v>
      </c>
      <c r="FC169" s="14" t="s">
        <v>169</v>
      </c>
      <c r="FD169" s="14" t="s">
        <v>22</v>
      </c>
      <c r="FE169" s="129" t="s">
        <v>519</v>
      </c>
      <c r="GY169" s="12" t="s">
        <v>179</v>
      </c>
      <c r="GZ169" s="14" t="s">
        <v>518</v>
      </c>
      <c r="HA169" s="12" t="s">
        <v>419</v>
      </c>
      <c r="HB169" s="131" t="str">
        <f t="shared" si="57"/>
        <v>Ludwig Classic 9.5mm</v>
      </c>
    </row>
    <row r="170" spans="98:210" x14ac:dyDescent="0.3">
      <c r="CT170" s="3" t="str">
        <f t="shared" si="58"/>
        <v>Sprayed</v>
      </c>
      <c r="CU170" s="12" t="s">
        <v>16</v>
      </c>
      <c r="CV170" s="13" t="s">
        <v>326</v>
      </c>
      <c r="CW170" s="129" t="str">
        <f t="shared" si="59"/>
        <v>VB: Vintage Bronze</v>
      </c>
      <c r="EC170" s="14" t="s">
        <v>17</v>
      </c>
      <c r="ED170" s="12" t="s">
        <v>73</v>
      </c>
      <c r="EE170" s="12" t="s">
        <v>126</v>
      </c>
      <c r="EF170" s="129" t="s">
        <v>486</v>
      </c>
      <c r="FC170" s="14" t="s">
        <v>169</v>
      </c>
      <c r="FD170" s="14" t="s">
        <v>518</v>
      </c>
      <c r="FE170" s="129" t="s">
        <v>1337</v>
      </c>
      <c r="GY170" s="12" t="s">
        <v>179</v>
      </c>
      <c r="GZ170" s="14" t="s">
        <v>518</v>
      </c>
      <c r="HA170" s="12" t="s">
        <v>424</v>
      </c>
      <c r="HB170" s="131" t="str">
        <f t="shared" si="57"/>
        <v>Triad Bracket 12mm</v>
      </c>
    </row>
    <row r="171" spans="98:210" x14ac:dyDescent="0.3">
      <c r="CT171" s="3" t="str">
        <f t="shared" si="58"/>
        <v>Sprayed</v>
      </c>
      <c r="CU171" s="12" t="s">
        <v>17</v>
      </c>
      <c r="CV171" s="15" t="s">
        <v>60</v>
      </c>
      <c r="CW171" s="129" t="str">
        <f t="shared" si="59"/>
        <v>MH: Vintage Mahogany</v>
      </c>
      <c r="EC171" s="14" t="s">
        <v>17</v>
      </c>
      <c r="ED171" s="12" t="s">
        <v>73</v>
      </c>
      <c r="EE171" s="12" t="s">
        <v>128</v>
      </c>
      <c r="EF171" s="129" t="s">
        <v>487</v>
      </c>
      <c r="FC171" s="14" t="s">
        <v>169</v>
      </c>
      <c r="FD171" s="14" t="s">
        <v>16</v>
      </c>
      <c r="FE171" s="129" t="s">
        <v>1338</v>
      </c>
      <c r="GY171" s="12" t="s">
        <v>179</v>
      </c>
      <c r="GZ171" s="14" t="s">
        <v>518</v>
      </c>
      <c r="HA171" s="12" t="s">
        <v>425</v>
      </c>
      <c r="HB171" s="131" t="str">
        <f t="shared" si="57"/>
        <v>Atlas Mount 12mm</v>
      </c>
    </row>
    <row r="172" spans="98:210" x14ac:dyDescent="0.3">
      <c r="CT172" s="3" t="str">
        <f t="shared" si="58"/>
        <v>Wrap</v>
      </c>
      <c r="CU172" s="12" t="s">
        <v>15</v>
      </c>
      <c r="CV172" s="13" t="s">
        <v>365</v>
      </c>
      <c r="CW172" s="129" t="str">
        <f t="shared" si="59"/>
        <v>VP: Vintage Pink Oyster</v>
      </c>
      <c r="EC172" s="14" t="s">
        <v>17</v>
      </c>
      <c r="ED172" s="12" t="s">
        <v>73</v>
      </c>
      <c r="EE172" s="12" t="s">
        <v>129</v>
      </c>
      <c r="EF172" s="129" t="s">
        <v>488</v>
      </c>
      <c r="FC172" s="14" t="s">
        <v>178</v>
      </c>
      <c r="FD172" s="14" t="s">
        <v>22</v>
      </c>
      <c r="FE172" s="129" t="s">
        <v>519</v>
      </c>
      <c r="GY172" s="12" t="s">
        <v>179</v>
      </c>
      <c r="GZ172" s="14" t="s">
        <v>16</v>
      </c>
      <c r="HA172" s="12" t="s">
        <v>413</v>
      </c>
      <c r="HB172" s="131" t="str">
        <f t="shared" si="57"/>
        <v>No Mounting Bracket</v>
      </c>
    </row>
    <row r="173" spans="98:210" x14ac:dyDescent="0.3">
      <c r="CT173" s="3" t="str">
        <f t="shared" si="58"/>
        <v>Wrap</v>
      </c>
      <c r="CU173" s="12" t="s">
        <v>16</v>
      </c>
      <c r="CV173" s="13" t="s">
        <v>365</v>
      </c>
      <c r="CW173" s="129" t="str">
        <f t="shared" si="59"/>
        <v>VP: Vintage Pink Oyster</v>
      </c>
      <c r="EC173" s="14" t="s">
        <v>17</v>
      </c>
      <c r="ED173" s="12" t="s">
        <v>73</v>
      </c>
      <c r="EE173" s="12" t="s">
        <v>131</v>
      </c>
      <c r="EF173" s="129" t="s">
        <v>489</v>
      </c>
      <c r="FC173" s="14" t="s">
        <v>178</v>
      </c>
      <c r="FD173" s="14" t="s">
        <v>518</v>
      </c>
      <c r="FE173" s="129" t="s">
        <v>1337</v>
      </c>
      <c r="GY173" s="12" t="s">
        <v>179</v>
      </c>
      <c r="GZ173" s="14" t="s">
        <v>16</v>
      </c>
      <c r="HA173" s="12" t="s">
        <v>419</v>
      </c>
      <c r="HB173" s="131" t="str">
        <f t="shared" si="57"/>
        <v>Ludwig Classic 9.5mm</v>
      </c>
    </row>
    <row r="174" spans="98:210" x14ac:dyDescent="0.3">
      <c r="CT174" s="3" t="str">
        <f t="shared" si="58"/>
        <v>Wrap</v>
      </c>
      <c r="CU174" s="12" t="s">
        <v>17</v>
      </c>
      <c r="CV174" s="13" t="s">
        <v>365</v>
      </c>
      <c r="CW174" s="129" t="str">
        <f t="shared" si="59"/>
        <v>VP: Vintage Pink Oyster</v>
      </c>
      <c r="EC174" s="14" t="s">
        <v>17</v>
      </c>
      <c r="ED174" s="12" t="s">
        <v>52</v>
      </c>
      <c r="EE174" s="12" t="s">
        <v>186</v>
      </c>
      <c r="EF174" s="129" t="s">
        <v>65</v>
      </c>
      <c r="FC174" s="14" t="s">
        <v>178</v>
      </c>
      <c r="FD174" s="14" t="s">
        <v>16</v>
      </c>
      <c r="FE174" s="129" t="s">
        <v>1338</v>
      </c>
      <c r="GY174" s="12" t="s">
        <v>179</v>
      </c>
      <c r="GZ174" s="14" t="s">
        <v>16</v>
      </c>
      <c r="HA174" s="12" t="s">
        <v>424</v>
      </c>
      <c r="HB174" s="131" t="str">
        <f t="shared" si="57"/>
        <v>Triad Bracket 12mm</v>
      </c>
    </row>
    <row r="175" spans="98:210" x14ac:dyDescent="0.3">
      <c r="CT175" s="3" t="str">
        <f t="shared" si="58"/>
        <v>Wrap</v>
      </c>
      <c r="CU175" s="12" t="s">
        <v>19</v>
      </c>
      <c r="CV175" s="13" t="s">
        <v>365</v>
      </c>
      <c r="CW175" s="129" t="str">
        <f t="shared" si="59"/>
        <v>VP: Vintage Pink Oyster</v>
      </c>
      <c r="EC175" s="14" t="s">
        <v>17</v>
      </c>
      <c r="ED175" s="12" t="s">
        <v>52</v>
      </c>
      <c r="EE175" s="12" t="s">
        <v>189</v>
      </c>
      <c r="EF175" s="129" t="s">
        <v>72</v>
      </c>
      <c r="FC175" s="14" t="s">
        <v>175</v>
      </c>
      <c r="FD175" s="14" t="s">
        <v>22</v>
      </c>
      <c r="FE175" s="129" t="s">
        <v>519</v>
      </c>
      <c r="GY175" s="12" t="s">
        <v>179</v>
      </c>
      <c r="GZ175" s="14" t="s">
        <v>22</v>
      </c>
      <c r="HA175" s="12" t="s">
        <v>413</v>
      </c>
      <c r="HB175" s="131" t="str">
        <f t="shared" si="57"/>
        <v>No Mounting Bracket</v>
      </c>
    </row>
    <row r="176" spans="98:210" x14ac:dyDescent="0.3">
      <c r="CT176" s="3" t="str">
        <f t="shared" si="58"/>
        <v>Wrap</v>
      </c>
      <c r="CU176" s="12" t="s">
        <v>15</v>
      </c>
      <c r="CV176" s="15" t="s">
        <v>382</v>
      </c>
      <c r="CW176" s="129" t="str">
        <f t="shared" si="59"/>
        <v>NM: Vintage White Marine</v>
      </c>
      <c r="EC176" s="12" t="s">
        <v>17</v>
      </c>
      <c r="ED176" s="12" t="s">
        <v>52</v>
      </c>
      <c r="EE176" s="12" t="s">
        <v>190</v>
      </c>
      <c r="EF176" s="129" t="s">
        <v>75</v>
      </c>
      <c r="FC176" s="14" t="s">
        <v>175</v>
      </c>
      <c r="FD176" s="14" t="s">
        <v>518</v>
      </c>
      <c r="FE176" s="129" t="s">
        <v>1337</v>
      </c>
      <c r="GY176" s="12" t="s">
        <v>179</v>
      </c>
      <c r="GZ176" s="14" t="s">
        <v>22</v>
      </c>
      <c r="HA176" s="12" t="s">
        <v>419</v>
      </c>
      <c r="HB176" s="131" t="str">
        <f t="shared" si="57"/>
        <v>Ludwig Classic 9.5mm</v>
      </c>
    </row>
    <row r="177" spans="98:210" x14ac:dyDescent="0.3">
      <c r="CT177" s="3" t="str">
        <f t="shared" si="58"/>
        <v>Wrap</v>
      </c>
      <c r="CU177" s="12" t="s">
        <v>16</v>
      </c>
      <c r="CV177" s="15" t="s">
        <v>382</v>
      </c>
      <c r="CW177" s="129" t="str">
        <f t="shared" si="59"/>
        <v>NM: Vintage White Marine</v>
      </c>
      <c r="EC177" s="12" t="s">
        <v>17</v>
      </c>
      <c r="ED177" s="12" t="s">
        <v>52</v>
      </c>
      <c r="EE177" s="12" t="s">
        <v>195</v>
      </c>
      <c r="EF177" s="129" t="s">
        <v>87</v>
      </c>
      <c r="FC177" s="14" t="s">
        <v>175</v>
      </c>
      <c r="FD177" s="14" t="s">
        <v>16</v>
      </c>
      <c r="FE177" s="129" t="s">
        <v>1338</v>
      </c>
      <c r="GY177" s="12" t="s">
        <v>179</v>
      </c>
      <c r="GZ177" s="14" t="s">
        <v>22</v>
      </c>
      <c r="HA177" s="12" t="s">
        <v>424</v>
      </c>
      <c r="HB177" s="131" t="str">
        <f t="shared" si="57"/>
        <v>Triad Bracket 12mm</v>
      </c>
    </row>
    <row r="178" spans="98:210" x14ac:dyDescent="0.3">
      <c r="CT178" s="3" t="str">
        <f t="shared" si="58"/>
        <v>Wrap</v>
      </c>
      <c r="CU178" s="12" t="s">
        <v>17</v>
      </c>
      <c r="CV178" s="15" t="s">
        <v>382</v>
      </c>
      <c r="CW178" s="129" t="str">
        <f t="shared" si="59"/>
        <v>NM: Vintage White Marine</v>
      </c>
      <c r="EC178" s="14" t="s">
        <v>17</v>
      </c>
      <c r="ED178" s="12" t="s">
        <v>52</v>
      </c>
      <c r="EE178" s="12" t="s">
        <v>191</v>
      </c>
      <c r="EF178" s="129" t="s">
        <v>80</v>
      </c>
      <c r="FC178" s="14" t="s">
        <v>179</v>
      </c>
      <c r="FD178" s="14" t="s">
        <v>22</v>
      </c>
      <c r="FE178" s="129" t="s">
        <v>519</v>
      </c>
      <c r="GY178" s="12" t="s">
        <v>179</v>
      </c>
      <c r="GZ178" s="14" t="s">
        <v>22</v>
      </c>
      <c r="HA178" s="12" t="s">
        <v>425</v>
      </c>
      <c r="HB178" s="131" t="str">
        <f t="shared" si="57"/>
        <v>Atlas Mount 12mm</v>
      </c>
    </row>
    <row r="179" spans="98:210" x14ac:dyDescent="0.3">
      <c r="CT179" s="3" t="str">
        <f t="shared" si="58"/>
        <v>Wrap</v>
      </c>
      <c r="CU179" s="12" t="s">
        <v>19</v>
      </c>
      <c r="CV179" s="15" t="s">
        <v>382</v>
      </c>
      <c r="CW179" s="129" t="str">
        <f t="shared" si="59"/>
        <v>NM: Vintage White Marine</v>
      </c>
      <c r="EC179" s="14" t="s">
        <v>17</v>
      </c>
      <c r="ED179" s="12" t="s">
        <v>52</v>
      </c>
      <c r="EE179" s="12" t="s">
        <v>196</v>
      </c>
      <c r="EF179" s="129" t="s">
        <v>89</v>
      </c>
      <c r="FC179" s="14" t="s">
        <v>179</v>
      </c>
      <c r="FD179" s="14" t="s">
        <v>518</v>
      </c>
      <c r="FE179" s="129" t="s">
        <v>1337</v>
      </c>
      <c r="GY179" s="12" t="s">
        <v>181</v>
      </c>
      <c r="GZ179" s="14" t="s">
        <v>518</v>
      </c>
      <c r="HA179" s="12" t="s">
        <v>413</v>
      </c>
      <c r="HB179" s="131" t="str">
        <f t="shared" si="57"/>
        <v>No Mounting Bracket</v>
      </c>
    </row>
    <row r="180" spans="98:210" x14ac:dyDescent="0.3">
      <c r="CT180" s="3" t="str">
        <f t="shared" si="58"/>
        <v>Wrap</v>
      </c>
      <c r="CU180" s="12" t="s">
        <v>15</v>
      </c>
      <c r="CV180" s="13" t="s">
        <v>384</v>
      </c>
      <c r="CW180" s="129" t="str">
        <f t="shared" si="59"/>
        <v>0F: White Cortex</v>
      </c>
      <c r="EC180" s="14" t="s">
        <v>17</v>
      </c>
      <c r="ED180" s="12" t="s">
        <v>52</v>
      </c>
      <c r="EE180" s="12" t="s">
        <v>197</v>
      </c>
      <c r="EF180" s="129" t="s">
        <v>61</v>
      </c>
      <c r="FC180" s="14" t="s">
        <v>179</v>
      </c>
      <c r="FD180" s="14" t="s">
        <v>16</v>
      </c>
      <c r="FE180" s="129" t="s">
        <v>1338</v>
      </c>
      <c r="GY180" s="12" t="s">
        <v>181</v>
      </c>
      <c r="GZ180" s="14" t="s">
        <v>518</v>
      </c>
      <c r="HA180" s="12" t="s">
        <v>419</v>
      </c>
      <c r="HB180" s="131" t="str">
        <f t="shared" si="57"/>
        <v>Ludwig Classic 9.5mm</v>
      </c>
    </row>
    <row r="181" spans="98:210" x14ac:dyDescent="0.3">
      <c r="CT181" s="3" t="str">
        <f t="shared" si="58"/>
        <v>Wrap</v>
      </c>
      <c r="CU181" s="12" t="s">
        <v>16</v>
      </c>
      <c r="CV181" s="13" t="s">
        <v>384</v>
      </c>
      <c r="CW181" s="129" t="str">
        <f t="shared" si="59"/>
        <v>0F: White Cortex</v>
      </c>
      <c r="EC181" s="14" t="s">
        <v>17</v>
      </c>
      <c r="ED181" s="12" t="s">
        <v>52</v>
      </c>
      <c r="EE181" s="12" t="s">
        <v>193</v>
      </c>
      <c r="EF181" s="129" t="s">
        <v>82</v>
      </c>
      <c r="FC181" s="14" t="s">
        <v>181</v>
      </c>
      <c r="FD181" s="14" t="s">
        <v>22</v>
      </c>
      <c r="FE181" s="129" t="s">
        <v>519</v>
      </c>
      <c r="GY181" s="12" t="s">
        <v>181</v>
      </c>
      <c r="GZ181" s="14" t="s">
        <v>518</v>
      </c>
      <c r="HA181" s="12" t="s">
        <v>417</v>
      </c>
      <c r="HB181" s="131" t="str">
        <f t="shared" si="57"/>
        <v>Vibraband w/Ludwig 9.5mm</v>
      </c>
    </row>
    <row r="182" spans="98:210" x14ac:dyDescent="0.3">
      <c r="CT182" s="3" t="str">
        <f t="shared" si="58"/>
        <v>Wrap</v>
      </c>
      <c r="CU182" s="12" t="s">
        <v>17</v>
      </c>
      <c r="CV182" s="13" t="s">
        <v>384</v>
      </c>
      <c r="CW182" s="129" t="str">
        <f t="shared" si="59"/>
        <v>0F: White Cortex</v>
      </c>
      <c r="EC182" s="14" t="s">
        <v>17</v>
      </c>
      <c r="ED182" s="12" t="s">
        <v>52</v>
      </c>
      <c r="EE182" s="12" t="s">
        <v>198</v>
      </c>
      <c r="EF182" s="129" t="s">
        <v>91</v>
      </c>
      <c r="FC182" s="14" t="s">
        <v>181</v>
      </c>
      <c r="FD182" s="14" t="s">
        <v>518</v>
      </c>
      <c r="FE182" s="129" t="s">
        <v>1337</v>
      </c>
      <c r="GY182" s="12" t="s">
        <v>181</v>
      </c>
      <c r="GZ182" s="14" t="s">
        <v>518</v>
      </c>
      <c r="HA182" s="12" t="s">
        <v>424</v>
      </c>
      <c r="HB182" s="131" t="str">
        <f t="shared" si="57"/>
        <v>Triad Bracket 12mm</v>
      </c>
    </row>
    <row r="183" spans="98:210" x14ac:dyDescent="0.3">
      <c r="CT183" s="3" t="str">
        <f t="shared" si="58"/>
        <v>Wrap</v>
      </c>
      <c r="CU183" s="12" t="s">
        <v>19</v>
      </c>
      <c r="CV183" s="13" t="s">
        <v>384</v>
      </c>
      <c r="CW183" s="129" t="str">
        <f t="shared" si="59"/>
        <v>0F: White Cortex</v>
      </c>
      <c r="EC183" s="14" t="s">
        <v>17</v>
      </c>
      <c r="ED183" s="12" t="s">
        <v>52</v>
      </c>
      <c r="EE183" s="12" t="s">
        <v>194</v>
      </c>
      <c r="EF183" s="129" t="s">
        <v>84</v>
      </c>
      <c r="FC183" s="14" t="s">
        <v>181</v>
      </c>
      <c r="FD183" s="14" t="s">
        <v>16</v>
      </c>
      <c r="FE183" s="129" t="s">
        <v>1338</v>
      </c>
      <c r="GY183" s="12" t="s">
        <v>181</v>
      </c>
      <c r="GZ183" s="14" t="s">
        <v>518</v>
      </c>
      <c r="HA183" s="12" t="s">
        <v>418</v>
      </c>
      <c r="HB183" s="131" t="str">
        <f t="shared" si="57"/>
        <v>Vibraband w/Triad 12mm</v>
      </c>
    </row>
    <row r="184" spans="98:210" x14ac:dyDescent="0.3">
      <c r="CT184" s="3" t="str">
        <f t="shared" si="58"/>
        <v>Wrap</v>
      </c>
      <c r="CU184" s="12" t="s">
        <v>15</v>
      </c>
      <c r="CV184" s="13" t="s">
        <v>387</v>
      </c>
      <c r="CW184" s="129" t="str">
        <f t="shared" si="59"/>
        <v>0P: White Marine Pearl</v>
      </c>
      <c r="EC184" s="14" t="s">
        <v>17</v>
      </c>
      <c r="ED184" s="12" t="s">
        <v>52</v>
      </c>
      <c r="EE184" s="12" t="s">
        <v>203</v>
      </c>
      <c r="EF184" s="129" t="s">
        <v>443</v>
      </c>
      <c r="FC184" s="14" t="s">
        <v>176</v>
      </c>
      <c r="FD184" s="14" t="s">
        <v>22</v>
      </c>
      <c r="FE184" s="129" t="s">
        <v>519</v>
      </c>
      <c r="GY184" s="12" t="s">
        <v>181</v>
      </c>
      <c r="GZ184" s="14" t="s">
        <v>518</v>
      </c>
      <c r="HA184" s="12" t="s">
        <v>425</v>
      </c>
      <c r="HB184" s="131" t="str">
        <f t="shared" si="57"/>
        <v>Atlas Mount 12mm</v>
      </c>
    </row>
    <row r="185" spans="98:210" x14ac:dyDescent="0.3">
      <c r="CT185" s="3" t="str">
        <f t="shared" si="58"/>
        <v>Wrap</v>
      </c>
      <c r="CU185" s="12" t="s">
        <v>16</v>
      </c>
      <c r="CV185" s="13" t="s">
        <v>387</v>
      </c>
      <c r="CW185" s="129" t="str">
        <f t="shared" si="59"/>
        <v>0P: White Marine Pearl</v>
      </c>
      <c r="EC185" s="14" t="s">
        <v>17</v>
      </c>
      <c r="ED185" s="12" t="s">
        <v>24</v>
      </c>
      <c r="EE185" s="12" t="s">
        <v>137</v>
      </c>
      <c r="EF185" s="129" t="s">
        <v>455</v>
      </c>
      <c r="FC185" s="14" t="s">
        <v>176</v>
      </c>
      <c r="FD185" s="14" t="s">
        <v>518</v>
      </c>
      <c r="FE185" s="129" t="s">
        <v>1337</v>
      </c>
      <c r="GY185" s="12" t="s">
        <v>181</v>
      </c>
      <c r="GZ185" s="14" t="s">
        <v>16</v>
      </c>
      <c r="HA185" s="12" t="s">
        <v>413</v>
      </c>
      <c r="HB185" s="131" t="str">
        <f t="shared" si="57"/>
        <v>No Mounting Bracket</v>
      </c>
    </row>
    <row r="186" spans="98:210" x14ac:dyDescent="0.3">
      <c r="CT186" s="3" t="str">
        <f t="shared" si="58"/>
        <v>Wrap</v>
      </c>
      <c r="CU186" s="12" t="s">
        <v>17</v>
      </c>
      <c r="CV186" s="13" t="s">
        <v>387</v>
      </c>
      <c r="CW186" s="129" t="str">
        <f t="shared" si="59"/>
        <v>0P: White Marine Pearl</v>
      </c>
      <c r="EC186" s="14" t="s">
        <v>17</v>
      </c>
      <c r="ED186" s="12" t="s">
        <v>24</v>
      </c>
      <c r="EE186" s="12" t="s">
        <v>138</v>
      </c>
      <c r="EF186" s="129" t="s">
        <v>456</v>
      </c>
      <c r="FC186" s="14" t="s">
        <v>176</v>
      </c>
      <c r="FD186" s="14" t="s">
        <v>16</v>
      </c>
      <c r="FE186" s="129" t="s">
        <v>1338</v>
      </c>
      <c r="GY186" s="12" t="s">
        <v>181</v>
      </c>
      <c r="GZ186" s="14" t="s">
        <v>16</v>
      </c>
      <c r="HA186" s="12" t="s">
        <v>419</v>
      </c>
      <c r="HB186" s="131" t="str">
        <f t="shared" si="57"/>
        <v>Ludwig Classic 9.5mm</v>
      </c>
    </row>
    <row r="187" spans="98:210" x14ac:dyDescent="0.3">
      <c r="CT187" s="3" t="str">
        <f t="shared" si="58"/>
        <v>Wrap</v>
      </c>
      <c r="CU187" s="12" t="s">
        <v>19</v>
      </c>
      <c r="CV187" s="13" t="s">
        <v>387</v>
      </c>
      <c r="CW187" s="129" t="str">
        <f t="shared" si="59"/>
        <v>0P: White Marine Pearl</v>
      </c>
      <c r="EC187" s="14" t="s">
        <v>17</v>
      </c>
      <c r="ED187" s="12" t="s">
        <v>24</v>
      </c>
      <c r="EE187" s="12" t="s">
        <v>139</v>
      </c>
      <c r="EF187" s="129" t="s">
        <v>457</v>
      </c>
      <c r="FC187" s="14" t="s">
        <v>180</v>
      </c>
      <c r="FD187" s="14" t="s">
        <v>22</v>
      </c>
      <c r="FE187" s="129" t="s">
        <v>519</v>
      </c>
      <c r="GY187" s="12" t="s">
        <v>181</v>
      </c>
      <c r="GZ187" s="14" t="s">
        <v>16</v>
      </c>
      <c r="HA187" s="12" t="s">
        <v>417</v>
      </c>
      <c r="HB187" s="131" t="str">
        <f t="shared" si="57"/>
        <v>Vibraband w/Ludwig 9.5mm</v>
      </c>
    </row>
    <row r="188" spans="98:210" x14ac:dyDescent="0.3">
      <c r="CU188" s="12"/>
      <c r="CV188" s="12"/>
      <c r="CW188" s="129"/>
      <c r="EC188" s="14" t="s">
        <v>17</v>
      </c>
      <c r="ED188" s="12" t="s">
        <v>24</v>
      </c>
      <c r="EE188" s="12" t="s">
        <v>140</v>
      </c>
      <c r="EF188" s="129" t="s">
        <v>458</v>
      </c>
      <c r="FC188" s="14" t="s">
        <v>180</v>
      </c>
      <c r="FD188" s="14" t="s">
        <v>518</v>
      </c>
      <c r="FE188" s="129" t="s">
        <v>1337</v>
      </c>
      <c r="GY188" s="12" t="s">
        <v>181</v>
      </c>
      <c r="GZ188" s="14" t="s">
        <v>16</v>
      </c>
      <c r="HA188" s="12" t="s">
        <v>424</v>
      </c>
      <c r="HB188" s="131" t="str">
        <f t="shared" si="57"/>
        <v>Triad Bracket 12mm</v>
      </c>
    </row>
    <row r="189" spans="98:210" x14ac:dyDescent="0.3">
      <c r="CU189" s="12"/>
      <c r="CV189" s="12"/>
      <c r="CW189" s="129"/>
      <c r="EC189" s="14" t="s">
        <v>17</v>
      </c>
      <c r="ED189" s="12" t="s">
        <v>24</v>
      </c>
      <c r="EE189" s="12" t="s">
        <v>141</v>
      </c>
      <c r="EF189" s="129" t="s">
        <v>459</v>
      </c>
      <c r="FC189" s="14" t="s">
        <v>180</v>
      </c>
      <c r="FD189" s="14" t="s">
        <v>16</v>
      </c>
      <c r="FE189" s="129" t="s">
        <v>1338</v>
      </c>
      <c r="GY189" s="12" t="s">
        <v>181</v>
      </c>
      <c r="GZ189" s="14" t="s">
        <v>16</v>
      </c>
      <c r="HA189" s="12" t="s">
        <v>418</v>
      </c>
      <c r="HB189" s="131" t="str">
        <f t="shared" si="57"/>
        <v>Vibraband w/Triad 12mm</v>
      </c>
    </row>
    <row r="190" spans="98:210" x14ac:dyDescent="0.3">
      <c r="CU190" s="12"/>
      <c r="CV190" s="12"/>
      <c r="CW190" s="129"/>
      <c r="EC190" s="14" t="s">
        <v>17</v>
      </c>
      <c r="ED190" s="12" t="s">
        <v>24</v>
      </c>
      <c r="EE190" s="12" t="s">
        <v>143</v>
      </c>
      <c r="EF190" s="129" t="s">
        <v>460</v>
      </c>
      <c r="FC190" s="14" t="s">
        <v>182</v>
      </c>
      <c r="FD190" s="14" t="s">
        <v>22</v>
      </c>
      <c r="FE190" s="129" t="s">
        <v>519</v>
      </c>
      <c r="GY190" s="12" t="s">
        <v>181</v>
      </c>
      <c r="GZ190" s="14" t="s">
        <v>22</v>
      </c>
      <c r="HA190" s="12" t="s">
        <v>413</v>
      </c>
      <c r="HB190" s="131" t="str">
        <f t="shared" si="57"/>
        <v>No Mounting Bracket</v>
      </c>
    </row>
    <row r="191" spans="98:210" x14ac:dyDescent="0.3">
      <c r="CU191" s="12"/>
      <c r="CV191" s="12"/>
      <c r="CW191" s="129"/>
      <c r="EC191" s="14" t="s">
        <v>17</v>
      </c>
      <c r="ED191" s="12" t="s">
        <v>24</v>
      </c>
      <c r="EE191" s="12" t="s">
        <v>144</v>
      </c>
      <c r="EF191" s="129" t="s">
        <v>461</v>
      </c>
      <c r="FC191" s="14" t="s">
        <v>182</v>
      </c>
      <c r="FD191" s="14" t="s">
        <v>518</v>
      </c>
      <c r="FE191" s="129" t="s">
        <v>1337</v>
      </c>
      <c r="GY191" s="12" t="s">
        <v>181</v>
      </c>
      <c r="GZ191" s="14" t="s">
        <v>22</v>
      </c>
      <c r="HA191" s="12" t="s">
        <v>419</v>
      </c>
      <c r="HB191" s="131" t="str">
        <f t="shared" si="57"/>
        <v>Ludwig Classic 9.5mm</v>
      </c>
    </row>
    <row r="192" spans="98:210" x14ac:dyDescent="0.3">
      <c r="CU192" s="12"/>
      <c r="CV192" s="13"/>
      <c r="CW192" s="129"/>
      <c r="EC192" s="14" t="s">
        <v>17</v>
      </c>
      <c r="ED192" s="12" t="s">
        <v>24</v>
      </c>
      <c r="EE192" s="12" t="s">
        <v>146</v>
      </c>
      <c r="EF192" s="129" t="s">
        <v>462</v>
      </c>
      <c r="FC192" s="14" t="s">
        <v>182</v>
      </c>
      <c r="FD192" s="14" t="s">
        <v>16</v>
      </c>
      <c r="FE192" s="129" t="s">
        <v>1338</v>
      </c>
      <c r="GY192" s="12" t="s">
        <v>181</v>
      </c>
      <c r="GZ192" s="14" t="s">
        <v>22</v>
      </c>
      <c r="HA192" s="12" t="s">
        <v>417</v>
      </c>
      <c r="HB192" s="131" t="str">
        <f t="shared" si="57"/>
        <v>Vibraband w/Ludwig 9.5mm</v>
      </c>
    </row>
    <row r="193" spans="99:210" x14ac:dyDescent="0.3">
      <c r="CU193" s="12"/>
      <c r="CV193" s="13"/>
      <c r="CW193" s="129"/>
      <c r="EC193" s="14" t="s">
        <v>17</v>
      </c>
      <c r="ED193" s="12" t="s">
        <v>24</v>
      </c>
      <c r="EE193" s="12" t="s">
        <v>147</v>
      </c>
      <c r="EF193" s="129" t="s">
        <v>463</v>
      </c>
      <c r="FC193" s="14" t="s">
        <v>183</v>
      </c>
      <c r="FD193" s="14" t="s">
        <v>22</v>
      </c>
      <c r="FE193" s="129" t="s">
        <v>519</v>
      </c>
      <c r="GY193" s="12" t="s">
        <v>181</v>
      </c>
      <c r="GZ193" s="14" t="s">
        <v>22</v>
      </c>
      <c r="HA193" s="12" t="s">
        <v>424</v>
      </c>
      <c r="HB193" s="131" t="str">
        <f t="shared" si="57"/>
        <v>Triad Bracket 12mm</v>
      </c>
    </row>
    <row r="194" spans="99:210" x14ac:dyDescent="0.3">
      <c r="CU194" s="12"/>
      <c r="CV194" s="13"/>
      <c r="CW194" s="129"/>
      <c r="EC194" s="14" t="s">
        <v>17</v>
      </c>
      <c r="ED194" s="12" t="s">
        <v>24</v>
      </c>
      <c r="EE194" s="12" t="s">
        <v>148</v>
      </c>
      <c r="EF194" s="129" t="s">
        <v>464</v>
      </c>
      <c r="FC194" s="14" t="s">
        <v>183</v>
      </c>
      <c r="FD194" s="14" t="s">
        <v>518</v>
      </c>
      <c r="FE194" s="129" t="s">
        <v>1337</v>
      </c>
      <c r="GY194" s="12" t="s">
        <v>181</v>
      </c>
      <c r="GZ194" s="14" t="s">
        <v>22</v>
      </c>
      <c r="HA194" s="12" t="s">
        <v>418</v>
      </c>
      <c r="HB194" s="131" t="str">
        <f t="shared" si="57"/>
        <v>Vibraband w/Triad 12mm</v>
      </c>
    </row>
    <row r="195" spans="99:210" x14ac:dyDescent="0.3">
      <c r="CU195" s="12"/>
      <c r="CV195" s="13"/>
      <c r="CW195" s="129"/>
      <c r="EC195" s="14" t="s">
        <v>17</v>
      </c>
      <c r="ED195" s="12" t="s">
        <v>24</v>
      </c>
      <c r="EE195" s="12" t="s">
        <v>149</v>
      </c>
      <c r="EF195" s="129" t="s">
        <v>465</v>
      </c>
      <c r="FC195" s="14" t="s">
        <v>183</v>
      </c>
      <c r="FD195" s="14" t="s">
        <v>16</v>
      </c>
      <c r="FE195" s="129" t="s">
        <v>1338</v>
      </c>
      <c r="GY195" s="12" t="s">
        <v>181</v>
      </c>
      <c r="GZ195" s="14" t="s">
        <v>22</v>
      </c>
      <c r="HA195" s="12" t="s">
        <v>425</v>
      </c>
      <c r="HB195" s="131" t="str">
        <f t="shared" si="57"/>
        <v>Atlas Mount 12mm</v>
      </c>
    </row>
    <row r="196" spans="99:210" x14ac:dyDescent="0.3">
      <c r="CU196" s="12"/>
      <c r="CV196" s="13"/>
      <c r="CW196" s="129"/>
      <c r="EC196" s="14" t="s">
        <v>17</v>
      </c>
      <c r="ED196" s="12" t="s">
        <v>24</v>
      </c>
      <c r="EE196" s="12" t="s">
        <v>150</v>
      </c>
      <c r="EF196" s="129" t="s">
        <v>466</v>
      </c>
      <c r="FC196" s="14" t="s">
        <v>184</v>
      </c>
      <c r="FD196" s="14" t="s">
        <v>22</v>
      </c>
      <c r="FE196" s="129" t="s">
        <v>519</v>
      </c>
      <c r="GY196" s="12" t="s">
        <v>176</v>
      </c>
      <c r="GZ196" s="14" t="s">
        <v>518</v>
      </c>
      <c r="HA196" s="12" t="s">
        <v>413</v>
      </c>
      <c r="HB196" s="131" t="str">
        <f t="shared" si="57"/>
        <v>No Mounting Bracket</v>
      </c>
    </row>
    <row r="197" spans="99:210" x14ac:dyDescent="0.3">
      <c r="EC197" s="14" t="s">
        <v>17</v>
      </c>
      <c r="ED197" s="12" t="s">
        <v>24</v>
      </c>
      <c r="EE197" s="12" t="s">
        <v>151</v>
      </c>
      <c r="EF197" s="129" t="s">
        <v>467</v>
      </c>
      <c r="FC197" s="14" t="s">
        <v>184</v>
      </c>
      <c r="FD197" s="14" t="s">
        <v>518</v>
      </c>
      <c r="FE197" s="129" t="s">
        <v>1337</v>
      </c>
      <c r="GY197" s="12" t="s">
        <v>176</v>
      </c>
      <c r="GZ197" s="14" t="s">
        <v>518</v>
      </c>
      <c r="HA197" s="12" t="s">
        <v>419</v>
      </c>
      <c r="HB197" s="131" t="str">
        <f t="shared" si="57"/>
        <v>Ludwig Classic 9.5mm</v>
      </c>
    </row>
    <row r="198" spans="99:210" x14ac:dyDescent="0.3">
      <c r="EC198" s="14" t="s">
        <v>17</v>
      </c>
      <c r="ED198" s="12" t="s">
        <v>24</v>
      </c>
      <c r="EE198" s="12" t="s">
        <v>157</v>
      </c>
      <c r="EF198" s="129" t="s">
        <v>468</v>
      </c>
      <c r="FC198" s="14" t="s">
        <v>184</v>
      </c>
      <c r="FD198" s="14" t="s">
        <v>16</v>
      </c>
      <c r="FE198" s="129" t="s">
        <v>1338</v>
      </c>
      <c r="GY198" s="12" t="s">
        <v>176</v>
      </c>
      <c r="GZ198" s="14" t="s">
        <v>518</v>
      </c>
      <c r="HA198" s="12" t="s">
        <v>417</v>
      </c>
      <c r="HB198" s="131" t="str">
        <f t="shared" si="57"/>
        <v>Vibraband w/Ludwig 9.5mm</v>
      </c>
    </row>
    <row r="199" spans="99:210" x14ac:dyDescent="0.3">
      <c r="EC199" s="14" t="s">
        <v>17</v>
      </c>
      <c r="ED199" s="12" t="s">
        <v>24</v>
      </c>
      <c r="EE199" s="12" t="s">
        <v>163</v>
      </c>
      <c r="EF199" s="129" t="s">
        <v>469</v>
      </c>
      <c r="FC199" s="14" t="s">
        <v>205</v>
      </c>
      <c r="FD199" s="14" t="s">
        <v>22</v>
      </c>
      <c r="FE199" s="129" t="s">
        <v>519</v>
      </c>
      <c r="GY199" s="12" t="s">
        <v>176</v>
      </c>
      <c r="GZ199" s="14" t="s">
        <v>518</v>
      </c>
      <c r="HA199" s="12" t="s">
        <v>424</v>
      </c>
      <c r="HB199" s="131" t="str">
        <f t="shared" si="57"/>
        <v>Triad Bracket 12mm</v>
      </c>
    </row>
    <row r="200" spans="99:210" x14ac:dyDescent="0.3">
      <c r="EC200" s="14" t="s">
        <v>17</v>
      </c>
      <c r="ED200" s="12" t="s">
        <v>24</v>
      </c>
      <c r="EE200" s="12" t="s">
        <v>169</v>
      </c>
      <c r="EF200" s="129" t="s">
        <v>470</v>
      </c>
      <c r="FC200" s="14" t="s">
        <v>205</v>
      </c>
      <c r="FD200" s="14" t="s">
        <v>518</v>
      </c>
      <c r="FE200" s="129" t="s">
        <v>1337</v>
      </c>
      <c r="GY200" s="12" t="s">
        <v>176</v>
      </c>
      <c r="GZ200" s="14" t="s">
        <v>518</v>
      </c>
      <c r="HA200" s="12" t="s">
        <v>418</v>
      </c>
      <c r="HB200" s="131" t="str">
        <f t="shared" si="57"/>
        <v>Vibraband w/Triad 12mm</v>
      </c>
    </row>
    <row r="201" spans="99:210" x14ac:dyDescent="0.3">
      <c r="EC201" s="14" t="s">
        <v>17</v>
      </c>
      <c r="ED201" s="12" t="s">
        <v>24</v>
      </c>
      <c r="EE201" s="12" t="s">
        <v>175</v>
      </c>
      <c r="EF201" s="129" t="s">
        <v>471</v>
      </c>
      <c r="FC201" s="14" t="s">
        <v>205</v>
      </c>
      <c r="FD201" s="14" t="s">
        <v>16</v>
      </c>
      <c r="FE201" s="129" t="s">
        <v>1338</v>
      </c>
      <c r="GY201" s="12" t="s">
        <v>176</v>
      </c>
      <c r="GZ201" s="14" t="s">
        <v>518</v>
      </c>
      <c r="HA201" s="12" t="s">
        <v>425</v>
      </c>
      <c r="HB201" s="131" t="str">
        <f t="shared" si="57"/>
        <v>Atlas Mount 12mm</v>
      </c>
    </row>
    <row r="202" spans="99:210" x14ac:dyDescent="0.3">
      <c r="EC202" s="14" t="s">
        <v>17</v>
      </c>
      <c r="ED202" s="12" t="s">
        <v>24</v>
      </c>
      <c r="EE202" s="12" t="s">
        <v>176</v>
      </c>
      <c r="EF202" s="129" t="s">
        <v>472</v>
      </c>
      <c r="FC202" s="14" t="s">
        <v>206</v>
      </c>
      <c r="FD202" s="14" t="s">
        <v>22</v>
      </c>
      <c r="FE202" s="129" t="s">
        <v>519</v>
      </c>
      <c r="GY202" s="12" t="s">
        <v>176</v>
      </c>
      <c r="GZ202" s="14" t="s">
        <v>16</v>
      </c>
      <c r="HA202" s="12" t="s">
        <v>413</v>
      </c>
      <c r="HB202" s="131" t="str">
        <f t="shared" ref="HB202:HB265" si="60">INDEX($GV$3:$GV$12,MATCH(HA202,$GU$3:$GU$12,0))</f>
        <v>No Mounting Bracket</v>
      </c>
    </row>
    <row r="203" spans="99:210" x14ac:dyDescent="0.3">
      <c r="EC203" s="14" t="s">
        <v>17</v>
      </c>
      <c r="ED203" s="12" t="s">
        <v>24</v>
      </c>
      <c r="EE203" s="12" t="s">
        <v>178</v>
      </c>
      <c r="EF203" s="129" t="s">
        <v>473</v>
      </c>
      <c r="FC203" s="14" t="s">
        <v>206</v>
      </c>
      <c r="FD203" s="14" t="s">
        <v>518</v>
      </c>
      <c r="FE203" s="129" t="s">
        <v>1337</v>
      </c>
      <c r="GY203" s="12" t="s">
        <v>176</v>
      </c>
      <c r="GZ203" s="14" t="s">
        <v>16</v>
      </c>
      <c r="HA203" s="12" t="s">
        <v>419</v>
      </c>
      <c r="HB203" s="131" t="str">
        <f t="shared" si="60"/>
        <v>Ludwig Classic 9.5mm</v>
      </c>
    </row>
    <row r="204" spans="99:210" x14ac:dyDescent="0.3">
      <c r="EC204" s="14" t="s">
        <v>17</v>
      </c>
      <c r="ED204" s="12" t="s">
        <v>24</v>
      </c>
      <c r="EE204" s="12" t="s">
        <v>179</v>
      </c>
      <c r="EF204" s="129" t="s">
        <v>474</v>
      </c>
      <c r="FC204" s="14" t="s">
        <v>207</v>
      </c>
      <c r="FD204" s="14" t="s">
        <v>22</v>
      </c>
      <c r="FE204" s="129" t="s">
        <v>519</v>
      </c>
      <c r="GY204" s="12" t="s">
        <v>176</v>
      </c>
      <c r="GZ204" s="14" t="s">
        <v>16</v>
      </c>
      <c r="HA204" s="12" t="s">
        <v>417</v>
      </c>
      <c r="HB204" s="131" t="str">
        <f t="shared" si="60"/>
        <v>Vibraband w/Ludwig 9.5mm</v>
      </c>
    </row>
    <row r="205" spans="99:210" x14ac:dyDescent="0.3">
      <c r="EC205" s="14" t="s">
        <v>17</v>
      </c>
      <c r="ED205" s="12" t="s">
        <v>24</v>
      </c>
      <c r="EE205" s="12" t="s">
        <v>180</v>
      </c>
      <c r="EF205" s="129" t="s">
        <v>475</v>
      </c>
      <c r="FC205" s="14" t="s">
        <v>207</v>
      </c>
      <c r="FD205" s="14" t="s">
        <v>518</v>
      </c>
      <c r="FE205" s="129" t="s">
        <v>1337</v>
      </c>
      <c r="GY205" s="12" t="s">
        <v>176</v>
      </c>
      <c r="GZ205" s="14" t="s">
        <v>16</v>
      </c>
      <c r="HA205" s="12" t="s">
        <v>424</v>
      </c>
      <c r="HB205" s="131" t="str">
        <f t="shared" si="60"/>
        <v>Triad Bracket 12mm</v>
      </c>
    </row>
    <row r="206" spans="99:210" x14ac:dyDescent="0.3">
      <c r="EC206" s="14" t="s">
        <v>17</v>
      </c>
      <c r="ED206" s="12" t="s">
        <v>24</v>
      </c>
      <c r="EE206" s="12" t="s">
        <v>181</v>
      </c>
      <c r="EF206" s="129" t="s">
        <v>476</v>
      </c>
      <c r="FC206" s="14" t="s">
        <v>137</v>
      </c>
      <c r="FD206" s="14" t="s">
        <v>22</v>
      </c>
      <c r="FE206" s="129" t="s">
        <v>519</v>
      </c>
      <c r="GY206" s="12" t="s">
        <v>176</v>
      </c>
      <c r="GZ206" s="14" t="s">
        <v>16</v>
      </c>
      <c r="HA206" s="12" t="s">
        <v>418</v>
      </c>
      <c r="HB206" s="131" t="str">
        <f t="shared" si="60"/>
        <v>Vibraband w/Triad 12mm</v>
      </c>
    </row>
    <row r="207" spans="99:210" x14ac:dyDescent="0.3">
      <c r="EC207" s="14" t="s">
        <v>17</v>
      </c>
      <c r="ED207" s="12" t="s">
        <v>24</v>
      </c>
      <c r="EE207" s="12" t="s">
        <v>182</v>
      </c>
      <c r="EF207" s="129" t="s">
        <v>477</v>
      </c>
      <c r="FC207" s="12" t="s">
        <v>137</v>
      </c>
      <c r="FD207" s="12" t="s">
        <v>26</v>
      </c>
      <c r="FE207" s="129" t="s">
        <v>515</v>
      </c>
      <c r="GY207" s="12" t="s">
        <v>176</v>
      </c>
      <c r="GZ207" s="14" t="s">
        <v>22</v>
      </c>
      <c r="HA207" s="12" t="s">
        <v>413</v>
      </c>
      <c r="HB207" s="131" t="str">
        <f t="shared" si="60"/>
        <v>No Mounting Bracket</v>
      </c>
    </row>
    <row r="208" spans="99:210" x14ac:dyDescent="0.3">
      <c r="EC208" s="14" t="s">
        <v>17</v>
      </c>
      <c r="ED208" s="12" t="s">
        <v>24</v>
      </c>
      <c r="EE208" s="12" t="s">
        <v>183</v>
      </c>
      <c r="EF208" s="129" t="s">
        <v>478</v>
      </c>
      <c r="FC208" s="12" t="s">
        <v>137</v>
      </c>
      <c r="FD208" s="12" t="s">
        <v>25</v>
      </c>
      <c r="FE208" s="129" t="s">
        <v>528</v>
      </c>
      <c r="GY208" s="12" t="s">
        <v>176</v>
      </c>
      <c r="GZ208" s="14" t="s">
        <v>22</v>
      </c>
      <c r="HA208" s="12" t="s">
        <v>419</v>
      </c>
      <c r="HB208" s="131" t="str">
        <f t="shared" si="60"/>
        <v>Ludwig Classic 9.5mm</v>
      </c>
    </row>
    <row r="209" spans="133:210" x14ac:dyDescent="0.3">
      <c r="EC209" s="14" t="s">
        <v>17</v>
      </c>
      <c r="ED209" s="12" t="s">
        <v>24</v>
      </c>
      <c r="EE209" s="12" t="s">
        <v>184</v>
      </c>
      <c r="EF209" s="129" t="s">
        <v>479</v>
      </c>
      <c r="FC209" s="14" t="s">
        <v>132</v>
      </c>
      <c r="FD209" s="14" t="s">
        <v>22</v>
      </c>
      <c r="FE209" s="129" t="s">
        <v>519</v>
      </c>
      <c r="GY209" s="12" t="s">
        <v>176</v>
      </c>
      <c r="GZ209" s="14" t="s">
        <v>22</v>
      </c>
      <c r="HA209" s="12" t="s">
        <v>417</v>
      </c>
      <c r="HB209" s="131" t="str">
        <f t="shared" si="60"/>
        <v>Vibraband w/Ludwig 9.5mm</v>
      </c>
    </row>
    <row r="210" spans="133:210" x14ac:dyDescent="0.3">
      <c r="EC210" s="12" t="s">
        <v>19</v>
      </c>
      <c r="ED210" s="12" t="s">
        <v>66</v>
      </c>
      <c r="EE210" s="14" t="s">
        <v>45</v>
      </c>
      <c r="EF210" s="129" t="s">
        <v>490</v>
      </c>
      <c r="FC210" s="14" t="s">
        <v>134</v>
      </c>
      <c r="FD210" s="14" t="s">
        <v>22</v>
      </c>
      <c r="FE210" s="129" t="s">
        <v>519</v>
      </c>
      <c r="GY210" s="12" t="s">
        <v>176</v>
      </c>
      <c r="GZ210" s="14" t="s">
        <v>22</v>
      </c>
      <c r="HA210" s="12" t="s">
        <v>424</v>
      </c>
      <c r="HB210" s="131" t="str">
        <f t="shared" si="60"/>
        <v>Triad Bracket 12mm</v>
      </c>
    </row>
    <row r="211" spans="133:210" x14ac:dyDescent="0.3">
      <c r="EC211" s="12" t="s">
        <v>19</v>
      </c>
      <c r="ED211" s="12" t="s">
        <v>66</v>
      </c>
      <c r="EE211" s="12" t="s">
        <v>49</v>
      </c>
      <c r="EF211" s="129" t="s">
        <v>491</v>
      </c>
      <c r="FC211" s="14" t="s">
        <v>138</v>
      </c>
      <c r="FD211" s="14" t="s">
        <v>22</v>
      </c>
      <c r="FE211" s="129" t="s">
        <v>519</v>
      </c>
      <c r="GY211" s="12" t="s">
        <v>176</v>
      </c>
      <c r="GZ211" s="14" t="s">
        <v>22</v>
      </c>
      <c r="HA211" s="12" t="s">
        <v>418</v>
      </c>
      <c r="HB211" s="131" t="str">
        <f t="shared" si="60"/>
        <v>Vibraband w/Triad 12mm</v>
      </c>
    </row>
    <row r="212" spans="133:210" x14ac:dyDescent="0.3">
      <c r="EC212" s="12" t="s">
        <v>19</v>
      </c>
      <c r="ED212" s="12" t="s">
        <v>66</v>
      </c>
      <c r="EE212" s="12" t="s">
        <v>51</v>
      </c>
      <c r="EF212" s="129" t="s">
        <v>492</v>
      </c>
      <c r="FC212" s="14" t="s">
        <v>139</v>
      </c>
      <c r="FD212" s="14" t="s">
        <v>22</v>
      </c>
      <c r="FE212" s="129" t="s">
        <v>519</v>
      </c>
      <c r="GY212" s="12" t="s">
        <v>176</v>
      </c>
      <c r="GZ212" s="14" t="s">
        <v>22</v>
      </c>
      <c r="HA212" s="12" t="s">
        <v>425</v>
      </c>
      <c r="HB212" s="131" t="str">
        <f t="shared" si="60"/>
        <v>Atlas Mount 12mm</v>
      </c>
    </row>
    <row r="213" spans="133:210" x14ac:dyDescent="0.3">
      <c r="EC213" s="12" t="s">
        <v>19</v>
      </c>
      <c r="ED213" s="12" t="s">
        <v>66</v>
      </c>
      <c r="EE213" s="12" t="s">
        <v>54</v>
      </c>
      <c r="EF213" s="129" t="s">
        <v>493</v>
      </c>
      <c r="FC213" s="14" t="s">
        <v>139</v>
      </c>
      <c r="FD213" s="14" t="s">
        <v>518</v>
      </c>
      <c r="FE213" s="129" t="s">
        <v>1337</v>
      </c>
      <c r="GY213" s="12" t="s">
        <v>180</v>
      </c>
      <c r="GZ213" s="14" t="s">
        <v>518</v>
      </c>
      <c r="HA213" s="12" t="s">
        <v>413</v>
      </c>
      <c r="HB213" s="131" t="str">
        <f t="shared" si="60"/>
        <v>No Mounting Bracket</v>
      </c>
    </row>
    <row r="214" spans="133:210" x14ac:dyDescent="0.3">
      <c r="EC214" s="12" t="s">
        <v>19</v>
      </c>
      <c r="ED214" s="12" t="s">
        <v>66</v>
      </c>
      <c r="EE214" s="12" t="s">
        <v>58</v>
      </c>
      <c r="EF214" s="129" t="s">
        <v>494</v>
      </c>
      <c r="FC214" s="14" t="s">
        <v>139</v>
      </c>
      <c r="FD214" s="14" t="s">
        <v>16</v>
      </c>
      <c r="FE214" s="129" t="s">
        <v>1338</v>
      </c>
      <c r="GY214" s="12" t="s">
        <v>180</v>
      </c>
      <c r="GZ214" s="14" t="s">
        <v>518</v>
      </c>
      <c r="HA214" s="12" t="s">
        <v>419</v>
      </c>
      <c r="HB214" s="131" t="str">
        <f t="shared" si="60"/>
        <v>Ludwig Classic 9.5mm</v>
      </c>
    </row>
    <row r="215" spans="133:210" x14ac:dyDescent="0.3">
      <c r="EC215" s="12" t="s">
        <v>19</v>
      </c>
      <c r="ED215" s="12" t="s">
        <v>66</v>
      </c>
      <c r="EE215" s="12" t="s">
        <v>62</v>
      </c>
      <c r="EF215" s="129" t="s">
        <v>495</v>
      </c>
      <c r="FC215" s="14" t="s">
        <v>141</v>
      </c>
      <c r="FD215" s="14" t="s">
        <v>22</v>
      </c>
      <c r="FE215" s="129" t="s">
        <v>519</v>
      </c>
      <c r="GY215" s="12" t="s">
        <v>180</v>
      </c>
      <c r="GZ215" s="14" t="s">
        <v>518</v>
      </c>
      <c r="HA215" s="12" t="s">
        <v>424</v>
      </c>
      <c r="HB215" s="131" t="str">
        <f t="shared" si="60"/>
        <v>Triad Bracket 12mm</v>
      </c>
    </row>
    <row r="216" spans="133:210" x14ac:dyDescent="0.3">
      <c r="EC216" s="12" t="s">
        <v>19</v>
      </c>
      <c r="ED216" s="12" t="s">
        <v>66</v>
      </c>
      <c r="EE216" s="12" t="s">
        <v>64</v>
      </c>
      <c r="EF216" s="129" t="s">
        <v>496</v>
      </c>
      <c r="FC216" s="14" t="s">
        <v>141</v>
      </c>
      <c r="FD216" s="14" t="s">
        <v>518</v>
      </c>
      <c r="FE216" s="129" t="s">
        <v>1337</v>
      </c>
      <c r="GY216" s="12" t="s">
        <v>180</v>
      </c>
      <c r="GZ216" s="14" t="s">
        <v>518</v>
      </c>
      <c r="HA216" s="12" t="s">
        <v>425</v>
      </c>
      <c r="HB216" s="131" t="str">
        <f t="shared" si="60"/>
        <v>Atlas Mount 12mm</v>
      </c>
    </row>
    <row r="217" spans="133:210" x14ac:dyDescent="0.3">
      <c r="EC217" s="12" t="s">
        <v>19</v>
      </c>
      <c r="ED217" s="12" t="s">
        <v>66</v>
      </c>
      <c r="EE217" s="12" t="s">
        <v>67</v>
      </c>
      <c r="EF217" s="129" t="s">
        <v>498</v>
      </c>
      <c r="FC217" s="14" t="s">
        <v>141</v>
      </c>
      <c r="FD217" s="14" t="s">
        <v>16</v>
      </c>
      <c r="FE217" s="129" t="s">
        <v>1338</v>
      </c>
      <c r="GY217" s="12" t="s">
        <v>180</v>
      </c>
      <c r="GZ217" s="14" t="s">
        <v>16</v>
      </c>
      <c r="HA217" s="12" t="s">
        <v>413</v>
      </c>
      <c r="HB217" s="131" t="str">
        <f t="shared" si="60"/>
        <v>No Mounting Bracket</v>
      </c>
    </row>
    <row r="218" spans="133:210" x14ac:dyDescent="0.3">
      <c r="EC218" s="12" t="s">
        <v>19</v>
      </c>
      <c r="ED218" s="12" t="s">
        <v>66</v>
      </c>
      <c r="EE218" s="12" t="s">
        <v>71</v>
      </c>
      <c r="EF218" s="129" t="s">
        <v>499</v>
      </c>
      <c r="FC218" s="12" t="s">
        <v>141</v>
      </c>
      <c r="FD218" s="12" t="s">
        <v>26</v>
      </c>
      <c r="FE218" s="129" t="s">
        <v>515</v>
      </c>
      <c r="GY218" s="12" t="s">
        <v>180</v>
      </c>
      <c r="GZ218" s="14" t="s">
        <v>16</v>
      </c>
      <c r="HA218" s="12" t="s">
        <v>419</v>
      </c>
      <c r="HB218" s="131" t="str">
        <f t="shared" si="60"/>
        <v>Ludwig Classic 9.5mm</v>
      </c>
    </row>
    <row r="219" spans="133:210" x14ac:dyDescent="0.3">
      <c r="EC219" s="12" t="s">
        <v>19</v>
      </c>
      <c r="ED219" s="12" t="s">
        <v>66</v>
      </c>
      <c r="EE219" s="12" t="s">
        <v>74</v>
      </c>
      <c r="EF219" s="129" t="s">
        <v>500</v>
      </c>
      <c r="FC219" s="12" t="s">
        <v>141</v>
      </c>
      <c r="FD219" s="12" t="s">
        <v>25</v>
      </c>
      <c r="FE219" s="129" t="s">
        <v>528</v>
      </c>
      <c r="GY219" s="12" t="s">
        <v>180</v>
      </c>
      <c r="GZ219" s="14" t="s">
        <v>16</v>
      </c>
      <c r="HA219" s="12" t="s">
        <v>424</v>
      </c>
      <c r="HB219" s="131" t="str">
        <f t="shared" si="60"/>
        <v>Triad Bracket 12mm</v>
      </c>
    </row>
    <row r="220" spans="133:210" x14ac:dyDescent="0.3">
      <c r="EC220" s="12" t="s">
        <v>19</v>
      </c>
      <c r="ED220" s="12" t="s">
        <v>66</v>
      </c>
      <c r="EE220" s="12" t="s">
        <v>77</v>
      </c>
      <c r="EF220" s="129" t="s">
        <v>501</v>
      </c>
      <c r="FC220" s="14" t="s">
        <v>133</v>
      </c>
      <c r="FD220" s="14" t="s">
        <v>22</v>
      </c>
      <c r="FE220" s="129" t="s">
        <v>519</v>
      </c>
      <c r="GY220" s="12" t="s">
        <v>180</v>
      </c>
      <c r="GZ220" s="14" t="s">
        <v>22</v>
      </c>
      <c r="HA220" s="12" t="s">
        <v>413</v>
      </c>
      <c r="HB220" s="131" t="str">
        <f t="shared" si="60"/>
        <v>No Mounting Bracket</v>
      </c>
    </row>
    <row r="221" spans="133:210" x14ac:dyDescent="0.3">
      <c r="EC221" s="12" t="s">
        <v>19</v>
      </c>
      <c r="ED221" s="12" t="s">
        <v>66</v>
      </c>
      <c r="EE221" s="12" t="s">
        <v>81</v>
      </c>
      <c r="EF221" s="129" t="s">
        <v>502</v>
      </c>
      <c r="FC221" s="14" t="s">
        <v>133</v>
      </c>
      <c r="FD221" s="14" t="s">
        <v>518</v>
      </c>
      <c r="FE221" s="129" t="s">
        <v>1337</v>
      </c>
      <c r="GY221" s="12" t="s">
        <v>180</v>
      </c>
      <c r="GZ221" s="14" t="s">
        <v>22</v>
      </c>
      <c r="HA221" s="12" t="s">
        <v>419</v>
      </c>
      <c r="HB221" s="131" t="str">
        <f t="shared" si="60"/>
        <v>Ludwig Classic 9.5mm</v>
      </c>
    </row>
    <row r="222" spans="133:210" x14ac:dyDescent="0.3">
      <c r="EC222" s="12" t="s">
        <v>19</v>
      </c>
      <c r="ED222" s="12" t="s">
        <v>66</v>
      </c>
      <c r="EE222" s="12" t="s">
        <v>83</v>
      </c>
      <c r="EF222" s="129" t="s">
        <v>503</v>
      </c>
      <c r="FC222" s="14" t="s">
        <v>133</v>
      </c>
      <c r="FD222" s="14" t="s">
        <v>16</v>
      </c>
      <c r="FE222" s="129" t="s">
        <v>1338</v>
      </c>
      <c r="GY222" s="12" t="s">
        <v>180</v>
      </c>
      <c r="GZ222" s="14" t="s">
        <v>22</v>
      </c>
      <c r="HA222" s="12" t="s">
        <v>424</v>
      </c>
      <c r="HB222" s="131" t="str">
        <f t="shared" si="60"/>
        <v>Triad Bracket 12mm</v>
      </c>
    </row>
    <row r="223" spans="133:210" x14ac:dyDescent="0.3">
      <c r="EC223" s="12" t="s">
        <v>19</v>
      </c>
      <c r="ED223" s="12" t="s">
        <v>66</v>
      </c>
      <c r="EE223" s="12" t="s">
        <v>85</v>
      </c>
      <c r="EF223" s="129" t="s">
        <v>504</v>
      </c>
      <c r="FC223" s="14" t="s">
        <v>136</v>
      </c>
      <c r="FD223" s="14" t="s">
        <v>22</v>
      </c>
      <c r="FE223" s="129" t="s">
        <v>519</v>
      </c>
      <c r="GY223" s="12" t="s">
        <v>180</v>
      </c>
      <c r="GZ223" s="14" t="s">
        <v>22</v>
      </c>
      <c r="HA223" s="12" t="s">
        <v>425</v>
      </c>
      <c r="HB223" s="131" t="str">
        <f t="shared" si="60"/>
        <v>Atlas Mount 12mm</v>
      </c>
    </row>
    <row r="224" spans="133:210" x14ac:dyDescent="0.3">
      <c r="EC224" s="12" t="s">
        <v>19</v>
      </c>
      <c r="ED224" s="12" t="s">
        <v>66</v>
      </c>
      <c r="EE224" s="12" t="s">
        <v>88</v>
      </c>
      <c r="EF224" s="129" t="s">
        <v>505</v>
      </c>
      <c r="FC224" s="14" t="s">
        <v>136</v>
      </c>
      <c r="FD224" s="14" t="s">
        <v>518</v>
      </c>
      <c r="FE224" s="129" t="s">
        <v>1337</v>
      </c>
      <c r="GY224" s="12" t="s">
        <v>182</v>
      </c>
      <c r="GZ224" s="14" t="s">
        <v>518</v>
      </c>
      <c r="HA224" s="12" t="s">
        <v>413</v>
      </c>
      <c r="HB224" s="131" t="str">
        <f t="shared" si="60"/>
        <v>No Mounting Bracket</v>
      </c>
    </row>
    <row r="225" spans="133:210" x14ac:dyDescent="0.3">
      <c r="EC225" s="12" t="s">
        <v>19</v>
      </c>
      <c r="ED225" s="12" t="s">
        <v>66</v>
      </c>
      <c r="EE225" s="12" t="s">
        <v>90</v>
      </c>
      <c r="EF225" s="129" t="s">
        <v>506</v>
      </c>
      <c r="FC225" s="14" t="s">
        <v>136</v>
      </c>
      <c r="FD225" s="14" t="s">
        <v>16</v>
      </c>
      <c r="FE225" s="129" t="s">
        <v>1338</v>
      </c>
      <c r="GY225" s="12" t="s">
        <v>182</v>
      </c>
      <c r="GZ225" s="14" t="s">
        <v>518</v>
      </c>
      <c r="HA225" s="12" t="s">
        <v>419</v>
      </c>
      <c r="HB225" s="131" t="str">
        <f t="shared" si="60"/>
        <v>Ludwig Classic 9.5mm</v>
      </c>
    </row>
    <row r="226" spans="133:210" x14ac:dyDescent="0.3">
      <c r="EC226" s="12" t="s">
        <v>19</v>
      </c>
      <c r="ED226" s="12" t="s">
        <v>66</v>
      </c>
      <c r="EE226" s="12" t="s">
        <v>93</v>
      </c>
      <c r="EF226" s="129" t="s">
        <v>507</v>
      </c>
      <c r="FC226" s="14" t="s">
        <v>140</v>
      </c>
      <c r="FD226" s="14" t="s">
        <v>22</v>
      </c>
      <c r="FE226" s="129" t="s">
        <v>519</v>
      </c>
      <c r="GY226" s="12" t="s">
        <v>182</v>
      </c>
      <c r="GZ226" s="14" t="s">
        <v>518</v>
      </c>
      <c r="HA226" s="12" t="s">
        <v>417</v>
      </c>
      <c r="HB226" s="131" t="str">
        <f t="shared" si="60"/>
        <v>Vibraband w/Ludwig 9.5mm</v>
      </c>
    </row>
    <row r="227" spans="133:210" x14ac:dyDescent="0.3">
      <c r="EC227" s="12" t="s">
        <v>19</v>
      </c>
      <c r="ED227" s="12" t="s">
        <v>66</v>
      </c>
      <c r="EE227" s="12" t="s">
        <v>95</v>
      </c>
      <c r="EF227" s="129" t="s">
        <v>508</v>
      </c>
      <c r="FC227" s="14" t="s">
        <v>140</v>
      </c>
      <c r="FD227" s="14" t="s">
        <v>518</v>
      </c>
      <c r="FE227" s="129" t="s">
        <v>1337</v>
      </c>
      <c r="GY227" s="12" t="s">
        <v>182</v>
      </c>
      <c r="GZ227" s="14" t="s">
        <v>518</v>
      </c>
      <c r="HA227" s="12" t="s">
        <v>424</v>
      </c>
      <c r="HB227" s="131" t="str">
        <f t="shared" si="60"/>
        <v>Triad Bracket 12mm</v>
      </c>
    </row>
    <row r="228" spans="133:210" x14ac:dyDescent="0.3">
      <c r="EC228" s="12" t="s">
        <v>19</v>
      </c>
      <c r="ED228" s="12" t="s">
        <v>66</v>
      </c>
      <c r="EE228" s="12" t="s">
        <v>100</v>
      </c>
      <c r="EF228" s="129" t="s">
        <v>509</v>
      </c>
      <c r="FC228" s="14" t="s">
        <v>140</v>
      </c>
      <c r="FD228" s="14" t="s">
        <v>16</v>
      </c>
      <c r="FE228" s="129" t="s">
        <v>1338</v>
      </c>
      <c r="GY228" s="12" t="s">
        <v>182</v>
      </c>
      <c r="GZ228" s="14" t="s">
        <v>518</v>
      </c>
      <c r="HA228" s="12" t="s">
        <v>418</v>
      </c>
      <c r="HB228" s="131" t="str">
        <f t="shared" si="60"/>
        <v>Vibraband w/Triad 12mm</v>
      </c>
    </row>
    <row r="229" spans="133:210" x14ac:dyDescent="0.3">
      <c r="EC229" s="12" t="s">
        <v>19</v>
      </c>
      <c r="ED229" s="12" t="s">
        <v>66</v>
      </c>
      <c r="EE229" s="12" t="s">
        <v>104</v>
      </c>
      <c r="EF229" s="129" t="s">
        <v>510</v>
      </c>
      <c r="FC229" s="14" t="s">
        <v>143</v>
      </c>
      <c r="FD229" s="14" t="s">
        <v>22</v>
      </c>
      <c r="FE229" s="129" t="s">
        <v>519</v>
      </c>
      <c r="GY229" s="12" t="s">
        <v>182</v>
      </c>
      <c r="GZ229" s="14" t="s">
        <v>518</v>
      </c>
      <c r="HA229" s="12" t="s">
        <v>425</v>
      </c>
      <c r="HB229" s="131" t="str">
        <f t="shared" si="60"/>
        <v>Atlas Mount 12mm</v>
      </c>
    </row>
    <row r="230" spans="133:210" x14ac:dyDescent="0.3">
      <c r="EC230" s="12" t="s">
        <v>19</v>
      </c>
      <c r="ED230" s="12" t="s">
        <v>73</v>
      </c>
      <c r="EE230" s="12" t="s">
        <v>110</v>
      </c>
      <c r="EF230" s="129" t="s">
        <v>480</v>
      </c>
      <c r="FC230" s="14" t="s">
        <v>143</v>
      </c>
      <c r="FD230" s="14" t="s">
        <v>518</v>
      </c>
      <c r="FE230" s="129" t="s">
        <v>1337</v>
      </c>
      <c r="GY230" s="12" t="s">
        <v>182</v>
      </c>
      <c r="GZ230" s="14" t="s">
        <v>16</v>
      </c>
      <c r="HA230" s="12" t="s">
        <v>413</v>
      </c>
      <c r="HB230" s="131" t="str">
        <f t="shared" si="60"/>
        <v>No Mounting Bracket</v>
      </c>
    </row>
    <row r="231" spans="133:210" x14ac:dyDescent="0.3">
      <c r="EC231" s="12" t="s">
        <v>19</v>
      </c>
      <c r="ED231" s="12" t="s">
        <v>73</v>
      </c>
      <c r="EE231" s="12" t="s">
        <v>113</v>
      </c>
      <c r="EF231" s="129" t="s">
        <v>481</v>
      </c>
      <c r="FC231" s="14" t="s">
        <v>143</v>
      </c>
      <c r="FD231" s="14" t="s">
        <v>16</v>
      </c>
      <c r="FE231" s="129" t="s">
        <v>1338</v>
      </c>
      <c r="GY231" s="12" t="s">
        <v>182</v>
      </c>
      <c r="GZ231" s="14" t="s">
        <v>16</v>
      </c>
      <c r="HA231" s="12" t="s">
        <v>419</v>
      </c>
      <c r="HB231" s="131" t="str">
        <f t="shared" si="60"/>
        <v>Ludwig Classic 9.5mm</v>
      </c>
    </row>
    <row r="232" spans="133:210" x14ac:dyDescent="0.3">
      <c r="EC232" s="12" t="s">
        <v>19</v>
      </c>
      <c r="ED232" s="12" t="s">
        <v>73</v>
      </c>
      <c r="EE232" s="12" t="s">
        <v>116</v>
      </c>
      <c r="EF232" s="129" t="s">
        <v>482</v>
      </c>
      <c r="FC232" s="14" t="s">
        <v>147</v>
      </c>
      <c r="FD232" s="14" t="s">
        <v>22</v>
      </c>
      <c r="FE232" s="129" t="s">
        <v>519</v>
      </c>
      <c r="GY232" s="12" t="s">
        <v>182</v>
      </c>
      <c r="GZ232" s="14" t="s">
        <v>16</v>
      </c>
      <c r="HA232" s="12" t="s">
        <v>417</v>
      </c>
      <c r="HB232" s="131" t="str">
        <f t="shared" si="60"/>
        <v>Vibraband w/Ludwig 9.5mm</v>
      </c>
    </row>
    <row r="233" spans="133:210" x14ac:dyDescent="0.3">
      <c r="EC233" s="12" t="s">
        <v>19</v>
      </c>
      <c r="ED233" s="12" t="s">
        <v>73</v>
      </c>
      <c r="EE233" s="12" t="s">
        <v>118</v>
      </c>
      <c r="EF233" s="129" t="s">
        <v>483</v>
      </c>
      <c r="FC233" s="14" t="s">
        <v>147</v>
      </c>
      <c r="FD233" s="14" t="s">
        <v>518</v>
      </c>
      <c r="FE233" s="129" t="s">
        <v>1337</v>
      </c>
      <c r="GY233" s="12" t="s">
        <v>182</v>
      </c>
      <c r="GZ233" s="14" t="s">
        <v>16</v>
      </c>
      <c r="HA233" s="12" t="s">
        <v>424</v>
      </c>
      <c r="HB233" s="131" t="str">
        <f t="shared" si="60"/>
        <v>Triad Bracket 12mm</v>
      </c>
    </row>
    <row r="234" spans="133:210" x14ac:dyDescent="0.3">
      <c r="EC234" s="12" t="s">
        <v>19</v>
      </c>
      <c r="ED234" s="12" t="s">
        <v>73</v>
      </c>
      <c r="EE234" s="12" t="s">
        <v>122</v>
      </c>
      <c r="EF234" s="129" t="s">
        <v>484</v>
      </c>
      <c r="FC234" s="14" t="s">
        <v>147</v>
      </c>
      <c r="FD234" s="14" t="s">
        <v>16</v>
      </c>
      <c r="FE234" s="129" t="s">
        <v>1338</v>
      </c>
      <c r="GY234" s="12" t="s">
        <v>182</v>
      </c>
      <c r="GZ234" s="14" t="s">
        <v>16</v>
      </c>
      <c r="HA234" s="12" t="s">
        <v>418</v>
      </c>
      <c r="HB234" s="131" t="str">
        <f t="shared" si="60"/>
        <v>Vibraband w/Triad 12mm</v>
      </c>
    </row>
    <row r="235" spans="133:210" x14ac:dyDescent="0.3">
      <c r="EC235" s="12" t="s">
        <v>19</v>
      </c>
      <c r="ED235" s="12" t="s">
        <v>73</v>
      </c>
      <c r="EE235" s="12" t="s">
        <v>125</v>
      </c>
      <c r="EF235" s="129" t="s">
        <v>485</v>
      </c>
      <c r="FC235" s="12" t="s">
        <v>147</v>
      </c>
      <c r="FD235" s="12" t="s">
        <v>26</v>
      </c>
      <c r="FE235" s="129" t="s">
        <v>515</v>
      </c>
      <c r="GY235" s="12" t="s">
        <v>182</v>
      </c>
      <c r="GZ235" s="14" t="s">
        <v>22</v>
      </c>
      <c r="HA235" s="12" t="s">
        <v>413</v>
      </c>
      <c r="HB235" s="131" t="str">
        <f t="shared" si="60"/>
        <v>No Mounting Bracket</v>
      </c>
    </row>
    <row r="236" spans="133:210" x14ac:dyDescent="0.3">
      <c r="EC236" s="12" t="s">
        <v>19</v>
      </c>
      <c r="ED236" s="12" t="s">
        <v>73</v>
      </c>
      <c r="EE236" s="12" t="s">
        <v>126</v>
      </c>
      <c r="EF236" s="129" t="s">
        <v>486</v>
      </c>
      <c r="FC236" s="12" t="s">
        <v>147</v>
      </c>
      <c r="FD236" s="12" t="s">
        <v>25</v>
      </c>
      <c r="FE236" s="129" t="s">
        <v>528</v>
      </c>
      <c r="GY236" s="12" t="s">
        <v>182</v>
      </c>
      <c r="GZ236" s="14" t="s">
        <v>22</v>
      </c>
      <c r="HA236" s="12" t="s">
        <v>419</v>
      </c>
      <c r="HB236" s="131" t="str">
        <f t="shared" si="60"/>
        <v>Ludwig Classic 9.5mm</v>
      </c>
    </row>
    <row r="237" spans="133:210" x14ac:dyDescent="0.3">
      <c r="EC237" s="12" t="s">
        <v>19</v>
      </c>
      <c r="ED237" s="12" t="s">
        <v>73</v>
      </c>
      <c r="EE237" s="12" t="s">
        <v>128</v>
      </c>
      <c r="EF237" s="129" t="s">
        <v>487</v>
      </c>
      <c r="FC237" s="14" t="s">
        <v>151</v>
      </c>
      <c r="FD237" s="14" t="s">
        <v>22</v>
      </c>
      <c r="FE237" s="129" t="s">
        <v>519</v>
      </c>
      <c r="GY237" s="12" t="s">
        <v>182</v>
      </c>
      <c r="GZ237" s="14" t="s">
        <v>22</v>
      </c>
      <c r="HA237" s="12" t="s">
        <v>417</v>
      </c>
      <c r="HB237" s="131" t="str">
        <f t="shared" si="60"/>
        <v>Vibraband w/Ludwig 9.5mm</v>
      </c>
    </row>
    <row r="238" spans="133:210" x14ac:dyDescent="0.3">
      <c r="EC238" s="12" t="s">
        <v>19</v>
      </c>
      <c r="ED238" s="12" t="s">
        <v>73</v>
      </c>
      <c r="EE238" s="12" t="s">
        <v>129</v>
      </c>
      <c r="EF238" s="129" t="s">
        <v>488</v>
      </c>
      <c r="FC238" s="14" t="s">
        <v>151</v>
      </c>
      <c r="FD238" s="14" t="s">
        <v>518</v>
      </c>
      <c r="FE238" s="129" t="s">
        <v>1337</v>
      </c>
      <c r="GY238" s="12" t="s">
        <v>182</v>
      </c>
      <c r="GZ238" s="14" t="s">
        <v>22</v>
      </c>
      <c r="HA238" s="12" t="s">
        <v>424</v>
      </c>
      <c r="HB238" s="131" t="str">
        <f t="shared" si="60"/>
        <v>Triad Bracket 12mm</v>
      </c>
    </row>
    <row r="239" spans="133:210" x14ac:dyDescent="0.3">
      <c r="EC239" s="12" t="s">
        <v>19</v>
      </c>
      <c r="ED239" s="12" t="s">
        <v>73</v>
      </c>
      <c r="EE239" s="12" t="s">
        <v>131</v>
      </c>
      <c r="EF239" s="129" t="s">
        <v>489</v>
      </c>
      <c r="FC239" s="14" t="s">
        <v>151</v>
      </c>
      <c r="FD239" s="14" t="s">
        <v>16</v>
      </c>
      <c r="FE239" s="129" t="s">
        <v>1338</v>
      </c>
      <c r="GY239" s="12" t="s">
        <v>182</v>
      </c>
      <c r="GZ239" s="14" t="s">
        <v>22</v>
      </c>
      <c r="HA239" s="12" t="s">
        <v>418</v>
      </c>
      <c r="HB239" s="131" t="str">
        <f t="shared" si="60"/>
        <v>Vibraband w/Triad 12mm</v>
      </c>
    </row>
    <row r="240" spans="133:210" x14ac:dyDescent="0.3">
      <c r="EC240" s="14" t="s">
        <v>19</v>
      </c>
      <c r="ED240" s="12" t="s">
        <v>52</v>
      </c>
      <c r="EE240" s="12" t="s">
        <v>186</v>
      </c>
      <c r="EF240" s="129" t="s">
        <v>65</v>
      </c>
      <c r="FC240" s="14" t="s">
        <v>192</v>
      </c>
      <c r="FD240" s="14" t="s">
        <v>26</v>
      </c>
      <c r="FE240" s="129" t="s">
        <v>515</v>
      </c>
      <c r="GY240" s="12" t="s">
        <v>182</v>
      </c>
      <c r="GZ240" s="14" t="s">
        <v>22</v>
      </c>
      <c r="HA240" s="12" t="s">
        <v>425</v>
      </c>
      <c r="HB240" s="131" t="str">
        <f t="shared" si="60"/>
        <v>Atlas Mount 12mm</v>
      </c>
    </row>
    <row r="241" spans="133:210" x14ac:dyDescent="0.3">
      <c r="EC241" s="14" t="s">
        <v>19</v>
      </c>
      <c r="ED241" s="12" t="s">
        <v>52</v>
      </c>
      <c r="EE241" s="12" t="s">
        <v>187</v>
      </c>
      <c r="EF241" s="129" t="s">
        <v>69</v>
      </c>
      <c r="FC241" s="14" t="s">
        <v>192</v>
      </c>
      <c r="FD241" s="14" t="s">
        <v>27</v>
      </c>
      <c r="FE241" s="129" t="s">
        <v>517</v>
      </c>
      <c r="GY241" s="12" t="s">
        <v>183</v>
      </c>
      <c r="GZ241" s="14" t="s">
        <v>518</v>
      </c>
      <c r="HA241" s="12" t="s">
        <v>413</v>
      </c>
      <c r="HB241" s="131" t="str">
        <f t="shared" si="60"/>
        <v>No Mounting Bracket</v>
      </c>
    </row>
    <row r="242" spans="133:210" x14ac:dyDescent="0.3">
      <c r="EC242" s="14" t="s">
        <v>19</v>
      </c>
      <c r="ED242" s="12" t="s">
        <v>52</v>
      </c>
      <c r="EE242" s="12" t="s">
        <v>189</v>
      </c>
      <c r="EF242" s="129" t="s">
        <v>72</v>
      </c>
      <c r="FC242" s="14" t="s">
        <v>192</v>
      </c>
      <c r="FD242" s="14" t="s">
        <v>25</v>
      </c>
      <c r="FE242" s="129" t="s">
        <v>528</v>
      </c>
      <c r="GY242" s="12" t="s">
        <v>183</v>
      </c>
      <c r="GZ242" s="14" t="s">
        <v>518</v>
      </c>
      <c r="HA242" s="12" t="s">
        <v>419</v>
      </c>
      <c r="HB242" s="131" t="str">
        <f t="shared" si="60"/>
        <v>Ludwig Classic 9.5mm</v>
      </c>
    </row>
    <row r="243" spans="133:210" x14ac:dyDescent="0.3">
      <c r="EC243" s="14" t="s">
        <v>19</v>
      </c>
      <c r="ED243" s="12" t="s">
        <v>52</v>
      </c>
      <c r="EE243" s="12" t="s">
        <v>190</v>
      </c>
      <c r="EF243" s="129" t="s">
        <v>75</v>
      </c>
      <c r="FC243" s="14" t="s">
        <v>197</v>
      </c>
      <c r="FD243" s="14" t="s">
        <v>26</v>
      </c>
      <c r="FE243" s="129" t="s">
        <v>515</v>
      </c>
      <c r="GY243" s="12" t="s">
        <v>183</v>
      </c>
      <c r="GZ243" s="14" t="s">
        <v>518</v>
      </c>
      <c r="HA243" s="12" t="s">
        <v>417</v>
      </c>
      <c r="HB243" s="131" t="str">
        <f t="shared" si="60"/>
        <v>Vibraband w/Ludwig 9.5mm</v>
      </c>
    </row>
    <row r="244" spans="133:210" x14ac:dyDescent="0.3">
      <c r="EC244" s="14" t="s">
        <v>19</v>
      </c>
      <c r="ED244" s="12" t="s">
        <v>52</v>
      </c>
      <c r="EE244" s="12" t="s">
        <v>195</v>
      </c>
      <c r="EF244" s="129" t="s">
        <v>87</v>
      </c>
      <c r="FC244" s="14" t="s">
        <v>197</v>
      </c>
      <c r="FD244" s="14" t="s">
        <v>27</v>
      </c>
      <c r="FE244" s="129" t="s">
        <v>517</v>
      </c>
      <c r="GY244" s="12" t="s">
        <v>183</v>
      </c>
      <c r="GZ244" s="14" t="s">
        <v>518</v>
      </c>
      <c r="HA244" s="12" t="s">
        <v>424</v>
      </c>
      <c r="HB244" s="131" t="str">
        <f t="shared" si="60"/>
        <v>Triad Bracket 12mm</v>
      </c>
    </row>
    <row r="245" spans="133:210" x14ac:dyDescent="0.3">
      <c r="EC245" s="14" t="s">
        <v>19</v>
      </c>
      <c r="ED245" s="12" t="s">
        <v>52</v>
      </c>
      <c r="EE245" s="12" t="s">
        <v>191</v>
      </c>
      <c r="EF245" s="129" t="s">
        <v>80</v>
      </c>
      <c r="FC245" s="14" t="s">
        <v>197</v>
      </c>
      <c r="FD245" s="14" t="s">
        <v>25</v>
      </c>
      <c r="FE245" s="129" t="s">
        <v>528</v>
      </c>
      <c r="GY245" s="12" t="s">
        <v>183</v>
      </c>
      <c r="GZ245" s="14" t="s">
        <v>518</v>
      </c>
      <c r="HA245" s="12" t="s">
        <v>418</v>
      </c>
      <c r="HB245" s="131" t="str">
        <f t="shared" si="60"/>
        <v>Vibraband w/Triad 12mm</v>
      </c>
    </row>
    <row r="246" spans="133:210" x14ac:dyDescent="0.3">
      <c r="EC246" s="14" t="s">
        <v>19</v>
      </c>
      <c r="ED246" s="14" t="s">
        <v>52</v>
      </c>
      <c r="EE246" s="14" t="s">
        <v>196</v>
      </c>
      <c r="EF246" s="129" t="s">
        <v>89</v>
      </c>
      <c r="GY246" s="12" t="s">
        <v>183</v>
      </c>
      <c r="GZ246" s="14" t="s">
        <v>518</v>
      </c>
      <c r="HA246" s="12" t="s">
        <v>425</v>
      </c>
      <c r="HB246" s="131" t="str">
        <f t="shared" si="60"/>
        <v>Atlas Mount 12mm</v>
      </c>
    </row>
    <row r="247" spans="133:210" x14ac:dyDescent="0.3">
      <c r="EC247" s="14" t="s">
        <v>19</v>
      </c>
      <c r="ED247" s="14" t="s">
        <v>52</v>
      </c>
      <c r="EE247" s="14" t="s">
        <v>197</v>
      </c>
      <c r="EF247" s="129" t="s">
        <v>61</v>
      </c>
      <c r="GY247" s="12" t="s">
        <v>183</v>
      </c>
      <c r="GZ247" s="14" t="s">
        <v>16</v>
      </c>
      <c r="HA247" s="12" t="s">
        <v>413</v>
      </c>
      <c r="HB247" s="131" t="str">
        <f t="shared" si="60"/>
        <v>No Mounting Bracket</v>
      </c>
    </row>
    <row r="248" spans="133:210" x14ac:dyDescent="0.3">
      <c r="EC248" s="14" t="s">
        <v>19</v>
      </c>
      <c r="ED248" s="12" t="s">
        <v>52</v>
      </c>
      <c r="EE248" s="12" t="s">
        <v>193</v>
      </c>
      <c r="EF248" s="129" t="s">
        <v>82</v>
      </c>
      <c r="GY248" s="12" t="s">
        <v>183</v>
      </c>
      <c r="GZ248" s="14" t="s">
        <v>16</v>
      </c>
      <c r="HA248" s="12" t="s">
        <v>419</v>
      </c>
      <c r="HB248" s="131" t="str">
        <f t="shared" si="60"/>
        <v>Ludwig Classic 9.5mm</v>
      </c>
    </row>
    <row r="249" spans="133:210" x14ac:dyDescent="0.3">
      <c r="EC249" s="14" t="s">
        <v>19</v>
      </c>
      <c r="ED249" s="14" t="s">
        <v>52</v>
      </c>
      <c r="EE249" s="14" t="s">
        <v>198</v>
      </c>
      <c r="EF249" s="129" t="s">
        <v>91</v>
      </c>
      <c r="GY249" s="12" t="s">
        <v>183</v>
      </c>
      <c r="GZ249" s="14" t="s">
        <v>16</v>
      </c>
      <c r="HA249" s="12" t="s">
        <v>417</v>
      </c>
      <c r="HB249" s="131" t="str">
        <f t="shared" si="60"/>
        <v>Vibraband w/Ludwig 9.5mm</v>
      </c>
    </row>
    <row r="250" spans="133:210" x14ac:dyDescent="0.3">
      <c r="EC250" s="14" t="s">
        <v>19</v>
      </c>
      <c r="ED250" s="12" t="s">
        <v>52</v>
      </c>
      <c r="EE250" s="12" t="s">
        <v>194</v>
      </c>
      <c r="EF250" s="129" t="s">
        <v>84</v>
      </c>
      <c r="GY250" s="12" t="s">
        <v>183</v>
      </c>
      <c r="GZ250" s="14" t="s">
        <v>16</v>
      </c>
      <c r="HA250" s="12" t="s">
        <v>424</v>
      </c>
      <c r="HB250" s="131" t="str">
        <f t="shared" si="60"/>
        <v>Triad Bracket 12mm</v>
      </c>
    </row>
    <row r="251" spans="133:210" x14ac:dyDescent="0.3">
      <c r="EC251" s="14" t="s">
        <v>19</v>
      </c>
      <c r="ED251" s="12" t="s">
        <v>52</v>
      </c>
      <c r="EE251" s="12" t="s">
        <v>203</v>
      </c>
      <c r="EF251" s="129" t="s">
        <v>443</v>
      </c>
      <c r="GY251" s="12" t="s">
        <v>183</v>
      </c>
      <c r="GZ251" s="14" t="s">
        <v>16</v>
      </c>
      <c r="HA251" s="12" t="s">
        <v>418</v>
      </c>
      <c r="HB251" s="131" t="str">
        <f t="shared" si="60"/>
        <v>Vibraband w/Triad 12mm</v>
      </c>
    </row>
    <row r="252" spans="133:210" x14ac:dyDescent="0.3">
      <c r="EC252" s="12" t="s">
        <v>19</v>
      </c>
      <c r="ED252" s="12" t="s">
        <v>24</v>
      </c>
      <c r="EE252" s="12" t="s">
        <v>134</v>
      </c>
      <c r="EF252" s="129" t="s">
        <v>453</v>
      </c>
      <c r="GY252" s="12" t="s">
        <v>183</v>
      </c>
      <c r="GZ252" s="14" t="s">
        <v>22</v>
      </c>
      <c r="HA252" s="12" t="s">
        <v>413</v>
      </c>
      <c r="HB252" s="131" t="str">
        <f t="shared" si="60"/>
        <v>No Mounting Bracket</v>
      </c>
    </row>
    <row r="253" spans="133:210" x14ac:dyDescent="0.3">
      <c r="EC253" s="12" t="s">
        <v>19</v>
      </c>
      <c r="ED253" s="12" t="s">
        <v>24</v>
      </c>
      <c r="EE253" s="12" t="s">
        <v>136</v>
      </c>
      <c r="EF253" s="129" t="s">
        <v>454</v>
      </c>
      <c r="GY253" s="12" t="s">
        <v>183</v>
      </c>
      <c r="GZ253" s="14" t="s">
        <v>22</v>
      </c>
      <c r="HA253" s="12" t="s">
        <v>419</v>
      </c>
      <c r="HB253" s="131" t="str">
        <f t="shared" si="60"/>
        <v>Ludwig Classic 9.5mm</v>
      </c>
    </row>
    <row r="254" spans="133:210" x14ac:dyDescent="0.3">
      <c r="EC254" s="12" t="s">
        <v>19</v>
      </c>
      <c r="ED254" s="12" t="s">
        <v>24</v>
      </c>
      <c r="EE254" s="12" t="s">
        <v>137</v>
      </c>
      <c r="EF254" s="129" t="s">
        <v>455</v>
      </c>
      <c r="GY254" s="12" t="s">
        <v>183</v>
      </c>
      <c r="GZ254" s="14" t="s">
        <v>22</v>
      </c>
      <c r="HA254" s="12" t="s">
        <v>417</v>
      </c>
      <c r="HB254" s="131" t="str">
        <f t="shared" si="60"/>
        <v>Vibraband w/Ludwig 9.5mm</v>
      </c>
    </row>
    <row r="255" spans="133:210" x14ac:dyDescent="0.3">
      <c r="EC255" s="12" t="s">
        <v>19</v>
      </c>
      <c r="ED255" s="12" t="s">
        <v>24</v>
      </c>
      <c r="EE255" s="12" t="s">
        <v>138</v>
      </c>
      <c r="EF255" s="129" t="s">
        <v>456</v>
      </c>
      <c r="GY255" s="12" t="s">
        <v>183</v>
      </c>
      <c r="GZ255" s="14" t="s">
        <v>22</v>
      </c>
      <c r="HA255" s="12" t="s">
        <v>424</v>
      </c>
      <c r="HB255" s="131" t="str">
        <f t="shared" si="60"/>
        <v>Triad Bracket 12mm</v>
      </c>
    </row>
    <row r="256" spans="133:210" x14ac:dyDescent="0.3">
      <c r="EC256" s="12" t="s">
        <v>19</v>
      </c>
      <c r="ED256" s="12" t="s">
        <v>24</v>
      </c>
      <c r="EE256" s="12" t="s">
        <v>139</v>
      </c>
      <c r="EF256" s="129" t="s">
        <v>457</v>
      </c>
      <c r="GY256" s="12" t="s">
        <v>183</v>
      </c>
      <c r="GZ256" s="14" t="s">
        <v>22</v>
      </c>
      <c r="HA256" s="12" t="s">
        <v>418</v>
      </c>
      <c r="HB256" s="131" t="str">
        <f t="shared" si="60"/>
        <v>Vibraband w/Triad 12mm</v>
      </c>
    </row>
    <row r="257" spans="133:210" x14ac:dyDescent="0.3">
      <c r="EC257" s="12" t="s">
        <v>19</v>
      </c>
      <c r="ED257" s="12" t="s">
        <v>24</v>
      </c>
      <c r="EE257" s="12" t="s">
        <v>140</v>
      </c>
      <c r="EF257" s="129" t="s">
        <v>458</v>
      </c>
      <c r="GY257" s="12" t="s">
        <v>183</v>
      </c>
      <c r="GZ257" s="14" t="s">
        <v>22</v>
      </c>
      <c r="HA257" s="12" t="s">
        <v>425</v>
      </c>
      <c r="HB257" s="131" t="str">
        <f t="shared" si="60"/>
        <v>Atlas Mount 12mm</v>
      </c>
    </row>
    <row r="258" spans="133:210" x14ac:dyDescent="0.3">
      <c r="EC258" s="12" t="s">
        <v>19</v>
      </c>
      <c r="ED258" s="12" t="s">
        <v>24</v>
      </c>
      <c r="EE258" s="12" t="s">
        <v>141</v>
      </c>
      <c r="EF258" s="129" t="s">
        <v>459</v>
      </c>
      <c r="GY258" s="12" t="s">
        <v>184</v>
      </c>
      <c r="GZ258" s="14" t="s">
        <v>518</v>
      </c>
      <c r="HA258" s="12" t="s">
        <v>413</v>
      </c>
      <c r="HB258" s="131" t="str">
        <f t="shared" si="60"/>
        <v>No Mounting Bracket</v>
      </c>
    </row>
    <row r="259" spans="133:210" x14ac:dyDescent="0.3">
      <c r="EC259" s="12" t="s">
        <v>19</v>
      </c>
      <c r="ED259" s="12" t="s">
        <v>24</v>
      </c>
      <c r="EE259" s="12" t="s">
        <v>143</v>
      </c>
      <c r="EF259" s="129" t="s">
        <v>460</v>
      </c>
      <c r="GY259" s="12" t="s">
        <v>184</v>
      </c>
      <c r="GZ259" s="14" t="s">
        <v>518</v>
      </c>
      <c r="HA259" s="12" t="s">
        <v>419</v>
      </c>
      <c r="HB259" s="131" t="str">
        <f t="shared" si="60"/>
        <v>Ludwig Classic 9.5mm</v>
      </c>
    </row>
    <row r="260" spans="133:210" x14ac:dyDescent="0.3">
      <c r="EC260" s="12" t="s">
        <v>19</v>
      </c>
      <c r="ED260" s="12" t="s">
        <v>24</v>
      </c>
      <c r="EE260" s="12" t="s">
        <v>144</v>
      </c>
      <c r="EF260" s="129" t="s">
        <v>461</v>
      </c>
      <c r="GY260" s="12" t="s">
        <v>184</v>
      </c>
      <c r="GZ260" s="14" t="s">
        <v>518</v>
      </c>
      <c r="HA260" s="12" t="s">
        <v>417</v>
      </c>
      <c r="HB260" s="131" t="str">
        <f t="shared" si="60"/>
        <v>Vibraband w/Ludwig 9.5mm</v>
      </c>
    </row>
    <row r="261" spans="133:210" x14ac:dyDescent="0.3">
      <c r="EC261" s="12" t="s">
        <v>19</v>
      </c>
      <c r="ED261" s="12" t="s">
        <v>24</v>
      </c>
      <c r="EE261" s="12" t="s">
        <v>146</v>
      </c>
      <c r="EF261" s="129" t="s">
        <v>462</v>
      </c>
      <c r="GY261" s="12" t="s">
        <v>184</v>
      </c>
      <c r="GZ261" s="14" t="s">
        <v>518</v>
      </c>
      <c r="HA261" s="12" t="s">
        <v>424</v>
      </c>
      <c r="HB261" s="131" t="str">
        <f t="shared" si="60"/>
        <v>Triad Bracket 12mm</v>
      </c>
    </row>
    <row r="262" spans="133:210" x14ac:dyDescent="0.3">
      <c r="EC262" s="12" t="s">
        <v>19</v>
      </c>
      <c r="ED262" s="12" t="s">
        <v>24</v>
      </c>
      <c r="EE262" s="12" t="s">
        <v>147</v>
      </c>
      <c r="EF262" s="129" t="s">
        <v>463</v>
      </c>
      <c r="GY262" s="12" t="s">
        <v>184</v>
      </c>
      <c r="GZ262" s="14" t="s">
        <v>518</v>
      </c>
      <c r="HA262" s="12" t="s">
        <v>418</v>
      </c>
      <c r="HB262" s="131" t="str">
        <f t="shared" si="60"/>
        <v>Vibraband w/Triad 12mm</v>
      </c>
    </row>
    <row r="263" spans="133:210" x14ac:dyDescent="0.3">
      <c r="EC263" s="12" t="s">
        <v>19</v>
      </c>
      <c r="ED263" s="12" t="s">
        <v>24</v>
      </c>
      <c r="EE263" s="12" t="s">
        <v>148</v>
      </c>
      <c r="EF263" s="129" t="s">
        <v>464</v>
      </c>
      <c r="GY263" s="12" t="s">
        <v>184</v>
      </c>
      <c r="GZ263" s="14" t="s">
        <v>518</v>
      </c>
      <c r="HA263" s="12" t="s">
        <v>425</v>
      </c>
      <c r="HB263" s="131" t="str">
        <f t="shared" si="60"/>
        <v>Atlas Mount 12mm</v>
      </c>
    </row>
    <row r="264" spans="133:210" x14ac:dyDescent="0.3">
      <c r="EC264" s="12" t="s">
        <v>19</v>
      </c>
      <c r="ED264" s="12" t="s">
        <v>24</v>
      </c>
      <c r="EE264" s="12" t="s">
        <v>149</v>
      </c>
      <c r="EF264" s="129" t="s">
        <v>465</v>
      </c>
      <c r="GY264" s="12" t="s">
        <v>184</v>
      </c>
      <c r="GZ264" s="14" t="s">
        <v>16</v>
      </c>
      <c r="HA264" s="12" t="s">
        <v>413</v>
      </c>
      <c r="HB264" s="131" t="str">
        <f t="shared" si="60"/>
        <v>No Mounting Bracket</v>
      </c>
    </row>
    <row r="265" spans="133:210" x14ac:dyDescent="0.3">
      <c r="EC265" s="12" t="s">
        <v>19</v>
      </c>
      <c r="ED265" s="12" t="s">
        <v>24</v>
      </c>
      <c r="EE265" s="12" t="s">
        <v>150</v>
      </c>
      <c r="EF265" s="129" t="s">
        <v>466</v>
      </c>
      <c r="GY265" s="12" t="s">
        <v>184</v>
      </c>
      <c r="GZ265" s="14" t="s">
        <v>16</v>
      </c>
      <c r="HA265" s="12" t="s">
        <v>419</v>
      </c>
      <c r="HB265" s="131" t="str">
        <f t="shared" si="60"/>
        <v>Ludwig Classic 9.5mm</v>
      </c>
    </row>
    <row r="266" spans="133:210" x14ac:dyDescent="0.3">
      <c r="EC266" s="12" t="s">
        <v>19</v>
      </c>
      <c r="ED266" s="12" t="s">
        <v>24</v>
      </c>
      <c r="EE266" s="12" t="s">
        <v>151</v>
      </c>
      <c r="EF266" s="129" t="s">
        <v>467</v>
      </c>
      <c r="GY266" s="12" t="s">
        <v>184</v>
      </c>
      <c r="GZ266" s="14" t="s">
        <v>16</v>
      </c>
      <c r="HA266" s="12" t="s">
        <v>417</v>
      </c>
      <c r="HB266" s="131" t="str">
        <f t="shared" ref="HB266:HB329" si="61">INDEX($GV$3:$GV$12,MATCH(HA266,$GU$3:$GU$12,0))</f>
        <v>Vibraband w/Ludwig 9.5mm</v>
      </c>
    </row>
    <row r="267" spans="133:210" x14ac:dyDescent="0.3">
      <c r="EC267" s="12" t="s">
        <v>19</v>
      </c>
      <c r="ED267" s="12" t="s">
        <v>24</v>
      </c>
      <c r="EE267" s="12" t="s">
        <v>157</v>
      </c>
      <c r="EF267" s="129" t="s">
        <v>468</v>
      </c>
      <c r="GY267" s="12" t="s">
        <v>184</v>
      </c>
      <c r="GZ267" s="14" t="s">
        <v>16</v>
      </c>
      <c r="HA267" s="12" t="s">
        <v>424</v>
      </c>
      <c r="HB267" s="131" t="str">
        <f t="shared" si="61"/>
        <v>Triad Bracket 12mm</v>
      </c>
    </row>
    <row r="268" spans="133:210" x14ac:dyDescent="0.3">
      <c r="EC268" s="12" t="s">
        <v>19</v>
      </c>
      <c r="ED268" s="12" t="s">
        <v>24</v>
      </c>
      <c r="EE268" s="12" t="s">
        <v>163</v>
      </c>
      <c r="EF268" s="129" t="s">
        <v>469</v>
      </c>
      <c r="GY268" s="12" t="s">
        <v>184</v>
      </c>
      <c r="GZ268" s="14" t="s">
        <v>16</v>
      </c>
      <c r="HA268" s="12" t="s">
        <v>418</v>
      </c>
      <c r="HB268" s="131" t="str">
        <f t="shared" si="61"/>
        <v>Vibraband w/Triad 12mm</v>
      </c>
    </row>
    <row r="269" spans="133:210" x14ac:dyDescent="0.3">
      <c r="EC269" s="12" t="s">
        <v>19</v>
      </c>
      <c r="ED269" s="12" t="s">
        <v>24</v>
      </c>
      <c r="EE269" s="12" t="s">
        <v>169</v>
      </c>
      <c r="EF269" s="129" t="s">
        <v>470</v>
      </c>
      <c r="GY269" s="12" t="s">
        <v>184</v>
      </c>
      <c r="GZ269" s="14" t="s">
        <v>22</v>
      </c>
      <c r="HA269" s="12" t="s">
        <v>413</v>
      </c>
      <c r="HB269" s="131" t="str">
        <f t="shared" si="61"/>
        <v>No Mounting Bracket</v>
      </c>
    </row>
    <row r="270" spans="133:210" x14ac:dyDescent="0.3">
      <c r="EC270" s="12" t="s">
        <v>19</v>
      </c>
      <c r="ED270" s="12" t="s">
        <v>24</v>
      </c>
      <c r="EE270" s="12" t="s">
        <v>175</v>
      </c>
      <c r="EF270" s="129" t="s">
        <v>471</v>
      </c>
      <c r="GY270" s="12" t="s">
        <v>184</v>
      </c>
      <c r="GZ270" s="14" t="s">
        <v>22</v>
      </c>
      <c r="HA270" s="12" t="s">
        <v>419</v>
      </c>
      <c r="HB270" s="131" t="str">
        <f t="shared" si="61"/>
        <v>Ludwig Classic 9.5mm</v>
      </c>
    </row>
    <row r="271" spans="133:210" x14ac:dyDescent="0.3">
      <c r="EC271" s="12" t="s">
        <v>19</v>
      </c>
      <c r="ED271" s="12" t="s">
        <v>24</v>
      </c>
      <c r="EE271" s="12" t="s">
        <v>176</v>
      </c>
      <c r="EF271" s="129" t="s">
        <v>472</v>
      </c>
      <c r="GY271" s="12" t="s">
        <v>184</v>
      </c>
      <c r="GZ271" s="14" t="s">
        <v>22</v>
      </c>
      <c r="HA271" s="12" t="s">
        <v>417</v>
      </c>
      <c r="HB271" s="131" t="str">
        <f t="shared" si="61"/>
        <v>Vibraband w/Ludwig 9.5mm</v>
      </c>
    </row>
    <row r="272" spans="133:210" x14ac:dyDescent="0.3">
      <c r="EC272" s="12" t="s">
        <v>19</v>
      </c>
      <c r="ED272" s="12" t="s">
        <v>24</v>
      </c>
      <c r="EE272" s="12" t="s">
        <v>178</v>
      </c>
      <c r="EF272" s="129" t="s">
        <v>473</v>
      </c>
      <c r="GY272" s="12" t="s">
        <v>184</v>
      </c>
      <c r="GZ272" s="14" t="s">
        <v>22</v>
      </c>
      <c r="HA272" s="12" t="s">
        <v>424</v>
      </c>
      <c r="HB272" s="131" t="str">
        <f t="shared" si="61"/>
        <v>Triad Bracket 12mm</v>
      </c>
    </row>
    <row r="273" spans="133:210" x14ac:dyDescent="0.3">
      <c r="EC273" s="12" t="s">
        <v>19</v>
      </c>
      <c r="ED273" s="12" t="s">
        <v>24</v>
      </c>
      <c r="EE273" s="12" t="s">
        <v>179</v>
      </c>
      <c r="EF273" s="129" t="s">
        <v>474</v>
      </c>
      <c r="GY273" s="12" t="s">
        <v>184</v>
      </c>
      <c r="GZ273" s="14" t="s">
        <v>22</v>
      </c>
      <c r="HA273" s="12" t="s">
        <v>418</v>
      </c>
      <c r="HB273" s="131" t="str">
        <f t="shared" si="61"/>
        <v>Vibraband w/Triad 12mm</v>
      </c>
    </row>
    <row r="274" spans="133:210" x14ac:dyDescent="0.3">
      <c r="EC274" s="12" t="s">
        <v>19</v>
      </c>
      <c r="ED274" s="12" t="s">
        <v>24</v>
      </c>
      <c r="EE274" s="12" t="s">
        <v>180</v>
      </c>
      <c r="EF274" s="129" t="s">
        <v>475</v>
      </c>
      <c r="GY274" s="12" t="s">
        <v>184</v>
      </c>
      <c r="GZ274" s="14" t="s">
        <v>22</v>
      </c>
      <c r="HA274" s="12" t="s">
        <v>425</v>
      </c>
      <c r="HB274" s="131" t="str">
        <f t="shared" si="61"/>
        <v>Atlas Mount 12mm</v>
      </c>
    </row>
    <row r="275" spans="133:210" x14ac:dyDescent="0.3">
      <c r="EC275" s="12" t="s">
        <v>19</v>
      </c>
      <c r="ED275" s="12" t="s">
        <v>24</v>
      </c>
      <c r="EE275" s="12" t="s">
        <v>182</v>
      </c>
      <c r="EF275" s="129" t="s">
        <v>477</v>
      </c>
      <c r="GY275" s="12" t="s">
        <v>205</v>
      </c>
      <c r="GZ275" s="14" t="s">
        <v>518</v>
      </c>
      <c r="HA275" s="12" t="s">
        <v>413</v>
      </c>
      <c r="HB275" s="131" t="str">
        <f t="shared" si="61"/>
        <v>No Mounting Bracket</v>
      </c>
    </row>
    <row r="276" spans="133:210" x14ac:dyDescent="0.3">
      <c r="EC276" s="12" t="s">
        <v>19</v>
      </c>
      <c r="ED276" s="12" t="s">
        <v>24</v>
      </c>
      <c r="EE276" s="12" t="s">
        <v>184</v>
      </c>
      <c r="EF276" s="129" t="s">
        <v>479</v>
      </c>
      <c r="GY276" s="12" t="s">
        <v>205</v>
      </c>
      <c r="GZ276" s="14" t="s">
        <v>518</v>
      </c>
      <c r="HA276" s="12" t="s">
        <v>419</v>
      </c>
      <c r="HB276" s="131" t="str">
        <f t="shared" si="61"/>
        <v>Ludwig Classic 9.5mm</v>
      </c>
    </row>
    <row r="277" spans="133:210" x14ac:dyDescent="0.3">
      <c r="EC277" s="14" t="s">
        <v>18</v>
      </c>
      <c r="ED277" s="12" t="s">
        <v>66</v>
      </c>
      <c r="EE277" s="12" t="s">
        <v>45</v>
      </c>
      <c r="EF277" s="129" t="s">
        <v>490</v>
      </c>
      <c r="GY277" s="12" t="s">
        <v>205</v>
      </c>
      <c r="GZ277" s="14" t="s">
        <v>518</v>
      </c>
      <c r="HA277" s="12" t="s">
        <v>424</v>
      </c>
      <c r="HB277" s="131" t="str">
        <f t="shared" si="61"/>
        <v>Triad Bracket 12mm</v>
      </c>
    </row>
    <row r="278" spans="133:210" x14ac:dyDescent="0.3">
      <c r="EC278" s="14" t="s">
        <v>18</v>
      </c>
      <c r="ED278" s="12" t="s">
        <v>66</v>
      </c>
      <c r="EE278" s="12" t="s">
        <v>49</v>
      </c>
      <c r="EF278" s="129" t="s">
        <v>491</v>
      </c>
      <c r="GY278" s="12" t="s">
        <v>205</v>
      </c>
      <c r="GZ278" s="14" t="s">
        <v>518</v>
      </c>
      <c r="HA278" s="12" t="s">
        <v>425</v>
      </c>
      <c r="HB278" s="131" t="str">
        <f t="shared" si="61"/>
        <v>Atlas Mount 12mm</v>
      </c>
    </row>
    <row r="279" spans="133:210" x14ac:dyDescent="0.3">
      <c r="EC279" s="14" t="s">
        <v>18</v>
      </c>
      <c r="ED279" s="12" t="s">
        <v>66</v>
      </c>
      <c r="EE279" s="12" t="s">
        <v>51</v>
      </c>
      <c r="EF279" s="129" t="s">
        <v>492</v>
      </c>
      <c r="GY279" s="12" t="s">
        <v>205</v>
      </c>
      <c r="GZ279" s="14" t="s">
        <v>16</v>
      </c>
      <c r="HA279" s="12" t="s">
        <v>413</v>
      </c>
      <c r="HB279" s="131" t="str">
        <f t="shared" si="61"/>
        <v>No Mounting Bracket</v>
      </c>
    </row>
    <row r="280" spans="133:210" x14ac:dyDescent="0.3">
      <c r="EC280" s="14" t="s">
        <v>18</v>
      </c>
      <c r="ED280" s="12" t="s">
        <v>66</v>
      </c>
      <c r="EE280" s="12" t="s">
        <v>54</v>
      </c>
      <c r="EF280" s="129" t="s">
        <v>493</v>
      </c>
      <c r="GY280" s="12" t="s">
        <v>205</v>
      </c>
      <c r="GZ280" s="14" t="s">
        <v>16</v>
      </c>
      <c r="HA280" s="12" t="s">
        <v>419</v>
      </c>
      <c r="HB280" s="131" t="str">
        <f t="shared" si="61"/>
        <v>Ludwig Classic 9.5mm</v>
      </c>
    </row>
    <row r="281" spans="133:210" x14ac:dyDescent="0.3">
      <c r="EC281" s="14" t="s">
        <v>18</v>
      </c>
      <c r="ED281" s="12" t="s">
        <v>66</v>
      </c>
      <c r="EE281" s="12" t="s">
        <v>58</v>
      </c>
      <c r="EF281" s="129" t="s">
        <v>494</v>
      </c>
      <c r="GY281" s="12" t="s">
        <v>205</v>
      </c>
      <c r="GZ281" s="14" t="s">
        <v>16</v>
      </c>
      <c r="HA281" s="12" t="s">
        <v>424</v>
      </c>
      <c r="HB281" s="131" t="str">
        <f t="shared" si="61"/>
        <v>Triad Bracket 12mm</v>
      </c>
    </row>
    <row r="282" spans="133:210" x14ac:dyDescent="0.3">
      <c r="EC282" s="14" t="s">
        <v>18</v>
      </c>
      <c r="ED282" s="12" t="s">
        <v>66</v>
      </c>
      <c r="EE282" s="12" t="s">
        <v>62</v>
      </c>
      <c r="EF282" s="129" t="s">
        <v>495</v>
      </c>
      <c r="GY282" s="12" t="s">
        <v>205</v>
      </c>
      <c r="GZ282" s="14" t="s">
        <v>22</v>
      </c>
      <c r="HA282" s="12" t="s">
        <v>413</v>
      </c>
      <c r="HB282" s="131" t="str">
        <f t="shared" si="61"/>
        <v>No Mounting Bracket</v>
      </c>
    </row>
    <row r="283" spans="133:210" x14ac:dyDescent="0.3">
      <c r="EC283" s="14" t="s">
        <v>18</v>
      </c>
      <c r="ED283" s="12" t="s">
        <v>66</v>
      </c>
      <c r="EE283" s="12" t="s">
        <v>64</v>
      </c>
      <c r="EF283" s="129" t="s">
        <v>496</v>
      </c>
      <c r="GY283" s="12" t="s">
        <v>205</v>
      </c>
      <c r="GZ283" s="14" t="s">
        <v>22</v>
      </c>
      <c r="HA283" s="12" t="s">
        <v>419</v>
      </c>
      <c r="HB283" s="131" t="str">
        <f t="shared" si="61"/>
        <v>Ludwig Classic 9.5mm</v>
      </c>
    </row>
    <row r="284" spans="133:210" x14ac:dyDescent="0.3">
      <c r="EC284" s="14" t="s">
        <v>18</v>
      </c>
      <c r="ED284" s="12" t="s">
        <v>66</v>
      </c>
      <c r="EE284" s="12" t="s">
        <v>68</v>
      </c>
      <c r="EF284" s="129" t="s">
        <v>497</v>
      </c>
      <c r="GY284" s="12" t="s">
        <v>205</v>
      </c>
      <c r="GZ284" s="14" t="s">
        <v>22</v>
      </c>
      <c r="HA284" s="12" t="s">
        <v>424</v>
      </c>
      <c r="HB284" s="131" t="str">
        <f t="shared" si="61"/>
        <v>Triad Bracket 12mm</v>
      </c>
    </row>
    <row r="285" spans="133:210" x14ac:dyDescent="0.3">
      <c r="EC285" s="14" t="s">
        <v>18</v>
      </c>
      <c r="ED285" s="12" t="s">
        <v>66</v>
      </c>
      <c r="EE285" s="12" t="s">
        <v>67</v>
      </c>
      <c r="EF285" s="129" t="s">
        <v>498</v>
      </c>
      <c r="GY285" s="12" t="s">
        <v>205</v>
      </c>
      <c r="GZ285" s="14" t="s">
        <v>22</v>
      </c>
      <c r="HA285" s="12" t="s">
        <v>425</v>
      </c>
      <c r="HB285" s="131" t="str">
        <f t="shared" si="61"/>
        <v>Atlas Mount 12mm</v>
      </c>
    </row>
    <row r="286" spans="133:210" x14ac:dyDescent="0.3">
      <c r="EC286" s="14" t="s">
        <v>18</v>
      </c>
      <c r="ED286" s="12" t="s">
        <v>66</v>
      </c>
      <c r="EE286" s="12" t="s">
        <v>71</v>
      </c>
      <c r="EF286" s="129" t="s">
        <v>499</v>
      </c>
      <c r="GY286" s="12" t="s">
        <v>206</v>
      </c>
      <c r="GZ286" s="12" t="s">
        <v>518</v>
      </c>
      <c r="HA286" s="12" t="s">
        <v>413</v>
      </c>
      <c r="HB286" s="131" t="str">
        <f t="shared" si="61"/>
        <v>No Mounting Bracket</v>
      </c>
    </row>
    <row r="287" spans="133:210" x14ac:dyDescent="0.3">
      <c r="EC287" s="14" t="s">
        <v>18</v>
      </c>
      <c r="ED287" s="12" t="s">
        <v>66</v>
      </c>
      <c r="EE287" s="12" t="s">
        <v>74</v>
      </c>
      <c r="EF287" s="129" t="s">
        <v>500</v>
      </c>
      <c r="GY287" s="12" t="s">
        <v>206</v>
      </c>
      <c r="GZ287" s="12" t="s">
        <v>518</v>
      </c>
      <c r="HA287" s="12" t="s">
        <v>419</v>
      </c>
      <c r="HB287" s="131" t="str">
        <f t="shared" si="61"/>
        <v>Ludwig Classic 9.5mm</v>
      </c>
    </row>
    <row r="288" spans="133:210" x14ac:dyDescent="0.3">
      <c r="EC288" s="14" t="s">
        <v>18</v>
      </c>
      <c r="ED288" s="12" t="s">
        <v>66</v>
      </c>
      <c r="EE288" s="12" t="s">
        <v>77</v>
      </c>
      <c r="EF288" s="129" t="s">
        <v>501</v>
      </c>
      <c r="GY288" s="12" t="s">
        <v>206</v>
      </c>
      <c r="GZ288" s="12" t="s">
        <v>518</v>
      </c>
      <c r="HA288" s="12" t="s">
        <v>424</v>
      </c>
      <c r="HB288" s="131" t="str">
        <f t="shared" si="61"/>
        <v>Triad Bracket 12mm</v>
      </c>
    </row>
    <row r="289" spans="133:210" x14ac:dyDescent="0.3">
      <c r="EC289" s="14" t="s">
        <v>18</v>
      </c>
      <c r="ED289" s="12" t="s">
        <v>66</v>
      </c>
      <c r="EE289" s="12" t="s">
        <v>81</v>
      </c>
      <c r="EF289" s="129" t="s">
        <v>502</v>
      </c>
      <c r="GY289" s="12" t="s">
        <v>206</v>
      </c>
      <c r="GZ289" s="12" t="s">
        <v>518</v>
      </c>
      <c r="HA289" s="12" t="s">
        <v>425</v>
      </c>
      <c r="HB289" s="131" t="str">
        <f t="shared" si="61"/>
        <v>Atlas Mount 12mm</v>
      </c>
    </row>
    <row r="290" spans="133:210" x14ac:dyDescent="0.3">
      <c r="EC290" s="14" t="s">
        <v>18</v>
      </c>
      <c r="ED290" s="12" t="s">
        <v>66</v>
      </c>
      <c r="EE290" s="12" t="s">
        <v>83</v>
      </c>
      <c r="EF290" s="129" t="s">
        <v>503</v>
      </c>
      <c r="GY290" s="12" t="s">
        <v>206</v>
      </c>
      <c r="GZ290" s="14" t="s">
        <v>22</v>
      </c>
      <c r="HA290" s="12" t="s">
        <v>413</v>
      </c>
      <c r="HB290" s="131" t="str">
        <f t="shared" si="61"/>
        <v>No Mounting Bracket</v>
      </c>
    </row>
    <row r="291" spans="133:210" x14ac:dyDescent="0.3">
      <c r="EC291" s="14" t="s">
        <v>18</v>
      </c>
      <c r="ED291" s="12" t="s">
        <v>66</v>
      </c>
      <c r="EE291" s="12" t="s">
        <v>85</v>
      </c>
      <c r="EF291" s="129" t="s">
        <v>504</v>
      </c>
      <c r="GY291" s="12" t="s">
        <v>206</v>
      </c>
      <c r="GZ291" s="14" t="s">
        <v>22</v>
      </c>
      <c r="HA291" s="12" t="s">
        <v>419</v>
      </c>
      <c r="HB291" s="131" t="str">
        <f t="shared" si="61"/>
        <v>Ludwig Classic 9.5mm</v>
      </c>
    </row>
    <row r="292" spans="133:210" x14ac:dyDescent="0.3">
      <c r="EC292" s="14" t="s">
        <v>18</v>
      </c>
      <c r="ED292" s="12" t="s">
        <v>66</v>
      </c>
      <c r="EE292" s="12" t="s">
        <v>88</v>
      </c>
      <c r="EF292" s="129" t="s">
        <v>505</v>
      </c>
      <c r="GY292" s="12" t="s">
        <v>206</v>
      </c>
      <c r="GZ292" s="14" t="s">
        <v>22</v>
      </c>
      <c r="HA292" s="12" t="s">
        <v>424</v>
      </c>
      <c r="HB292" s="131" t="str">
        <f t="shared" si="61"/>
        <v>Triad Bracket 12mm</v>
      </c>
    </row>
    <row r="293" spans="133:210" x14ac:dyDescent="0.3">
      <c r="EC293" s="14" t="s">
        <v>18</v>
      </c>
      <c r="ED293" s="12" t="s">
        <v>66</v>
      </c>
      <c r="EE293" s="12" t="s">
        <v>90</v>
      </c>
      <c r="EF293" s="129" t="s">
        <v>506</v>
      </c>
      <c r="GY293" s="12" t="s">
        <v>206</v>
      </c>
      <c r="GZ293" s="14" t="s">
        <v>22</v>
      </c>
      <c r="HA293" s="12" t="s">
        <v>425</v>
      </c>
      <c r="HB293" s="131" t="str">
        <f t="shared" si="61"/>
        <v>Atlas Mount 12mm</v>
      </c>
    </row>
    <row r="294" spans="133:210" x14ac:dyDescent="0.3">
      <c r="EC294" s="14" t="s">
        <v>18</v>
      </c>
      <c r="ED294" s="12" t="s">
        <v>66</v>
      </c>
      <c r="EE294" s="12" t="s">
        <v>93</v>
      </c>
      <c r="EF294" s="129" t="s">
        <v>507</v>
      </c>
      <c r="GY294" s="12" t="s">
        <v>207</v>
      </c>
      <c r="GZ294" s="14" t="s">
        <v>518</v>
      </c>
      <c r="HA294" s="12" t="s">
        <v>413</v>
      </c>
      <c r="HB294" s="131" t="str">
        <f t="shared" si="61"/>
        <v>No Mounting Bracket</v>
      </c>
    </row>
    <row r="295" spans="133:210" x14ac:dyDescent="0.3">
      <c r="EC295" s="14" t="s">
        <v>18</v>
      </c>
      <c r="ED295" s="12" t="s">
        <v>66</v>
      </c>
      <c r="EE295" s="12" t="s">
        <v>95</v>
      </c>
      <c r="EF295" s="129" t="s">
        <v>508</v>
      </c>
      <c r="GY295" s="12" t="s">
        <v>207</v>
      </c>
      <c r="GZ295" s="14" t="s">
        <v>518</v>
      </c>
      <c r="HA295" s="12" t="s">
        <v>419</v>
      </c>
      <c r="HB295" s="131" t="str">
        <f t="shared" si="61"/>
        <v>Ludwig Classic 9.5mm</v>
      </c>
    </row>
    <row r="296" spans="133:210" x14ac:dyDescent="0.3">
      <c r="EC296" s="14" t="s">
        <v>18</v>
      </c>
      <c r="ED296" s="12" t="s">
        <v>66</v>
      </c>
      <c r="EE296" s="12" t="s">
        <v>100</v>
      </c>
      <c r="EF296" s="129" t="s">
        <v>509</v>
      </c>
      <c r="GY296" s="12" t="s">
        <v>207</v>
      </c>
      <c r="GZ296" s="14" t="s">
        <v>518</v>
      </c>
      <c r="HA296" s="12" t="s">
        <v>424</v>
      </c>
      <c r="HB296" s="131" t="str">
        <f t="shared" si="61"/>
        <v>Triad Bracket 12mm</v>
      </c>
    </row>
    <row r="297" spans="133:210" x14ac:dyDescent="0.3">
      <c r="EC297" s="14" t="s">
        <v>18</v>
      </c>
      <c r="ED297" s="12" t="s">
        <v>66</v>
      </c>
      <c r="EE297" s="12" t="s">
        <v>104</v>
      </c>
      <c r="EF297" s="129" t="s">
        <v>510</v>
      </c>
      <c r="GY297" s="12" t="s">
        <v>207</v>
      </c>
      <c r="GZ297" s="14" t="s">
        <v>518</v>
      </c>
      <c r="HA297" s="12" t="s">
        <v>425</v>
      </c>
      <c r="HB297" s="131" t="str">
        <f t="shared" si="61"/>
        <v>Atlas Mount 12mm</v>
      </c>
    </row>
    <row r="298" spans="133:210" x14ac:dyDescent="0.3">
      <c r="EC298" s="14" t="s">
        <v>18</v>
      </c>
      <c r="ED298" s="12" t="s">
        <v>73</v>
      </c>
      <c r="EE298" s="12" t="s">
        <v>110</v>
      </c>
      <c r="EF298" s="129" t="s">
        <v>480</v>
      </c>
      <c r="GY298" s="12" t="s">
        <v>207</v>
      </c>
      <c r="GZ298" s="14" t="s">
        <v>22</v>
      </c>
      <c r="HA298" s="12" t="s">
        <v>413</v>
      </c>
      <c r="HB298" s="131" t="str">
        <f t="shared" si="61"/>
        <v>No Mounting Bracket</v>
      </c>
    </row>
    <row r="299" spans="133:210" x14ac:dyDescent="0.3">
      <c r="EC299" s="14" t="s">
        <v>18</v>
      </c>
      <c r="ED299" s="12" t="s">
        <v>73</v>
      </c>
      <c r="EE299" s="12" t="s">
        <v>113</v>
      </c>
      <c r="EF299" s="129" t="s">
        <v>481</v>
      </c>
      <c r="GY299" s="12" t="s">
        <v>207</v>
      </c>
      <c r="GZ299" s="14" t="s">
        <v>22</v>
      </c>
      <c r="HA299" s="12" t="s">
        <v>419</v>
      </c>
      <c r="HB299" s="131" t="str">
        <f t="shared" si="61"/>
        <v>Ludwig Classic 9.5mm</v>
      </c>
    </row>
    <row r="300" spans="133:210" x14ac:dyDescent="0.3">
      <c r="EC300" s="14" t="s">
        <v>18</v>
      </c>
      <c r="ED300" s="12" t="s">
        <v>73</v>
      </c>
      <c r="EE300" s="12" t="s">
        <v>116</v>
      </c>
      <c r="EF300" s="129" t="s">
        <v>482</v>
      </c>
      <c r="GY300" s="12" t="s">
        <v>207</v>
      </c>
      <c r="GZ300" s="14" t="s">
        <v>22</v>
      </c>
      <c r="HA300" s="12" t="s">
        <v>424</v>
      </c>
      <c r="HB300" s="131" t="str">
        <f t="shared" si="61"/>
        <v>Triad Bracket 12mm</v>
      </c>
    </row>
    <row r="301" spans="133:210" x14ac:dyDescent="0.3">
      <c r="EC301" s="14" t="s">
        <v>18</v>
      </c>
      <c r="ED301" s="12" t="s">
        <v>73</v>
      </c>
      <c r="EE301" s="12" t="s">
        <v>118</v>
      </c>
      <c r="EF301" s="129" t="s">
        <v>483</v>
      </c>
      <c r="GY301" s="12" t="s">
        <v>207</v>
      </c>
      <c r="GZ301" s="14" t="s">
        <v>22</v>
      </c>
      <c r="HA301" s="12" t="s">
        <v>425</v>
      </c>
      <c r="HB301" s="131" t="str">
        <f t="shared" si="61"/>
        <v>Atlas Mount 12mm</v>
      </c>
    </row>
    <row r="302" spans="133:210" x14ac:dyDescent="0.3">
      <c r="EC302" s="14" t="s">
        <v>18</v>
      </c>
      <c r="ED302" s="12" t="s">
        <v>73</v>
      </c>
      <c r="EE302" s="12" t="s">
        <v>122</v>
      </c>
      <c r="EF302" s="129" t="s">
        <v>484</v>
      </c>
      <c r="GY302" s="12" t="s">
        <v>137</v>
      </c>
      <c r="GZ302" s="14" t="s">
        <v>518</v>
      </c>
      <c r="HA302" s="12" t="s">
        <v>413</v>
      </c>
      <c r="HB302" s="131" t="str">
        <f t="shared" si="61"/>
        <v>No Mounting Bracket</v>
      </c>
    </row>
    <row r="303" spans="133:210" x14ac:dyDescent="0.3">
      <c r="EC303" s="14" t="s">
        <v>18</v>
      </c>
      <c r="ED303" s="12" t="s">
        <v>73</v>
      </c>
      <c r="EE303" s="12" t="s">
        <v>125</v>
      </c>
      <c r="EF303" s="129" t="s">
        <v>485</v>
      </c>
      <c r="GY303" s="12" t="s">
        <v>137</v>
      </c>
      <c r="GZ303" s="14" t="s">
        <v>518</v>
      </c>
      <c r="HA303" s="12" t="s">
        <v>419</v>
      </c>
      <c r="HB303" s="131" t="str">
        <f t="shared" si="61"/>
        <v>Ludwig Classic 9.5mm</v>
      </c>
    </row>
    <row r="304" spans="133:210" x14ac:dyDescent="0.3">
      <c r="EC304" s="14" t="s">
        <v>18</v>
      </c>
      <c r="ED304" s="12" t="s">
        <v>73</v>
      </c>
      <c r="EE304" s="12" t="s">
        <v>126</v>
      </c>
      <c r="EF304" s="129" t="s">
        <v>486</v>
      </c>
      <c r="GY304" s="12" t="s">
        <v>137</v>
      </c>
      <c r="GZ304" s="14" t="s">
        <v>518</v>
      </c>
      <c r="HA304" s="12" t="s">
        <v>417</v>
      </c>
      <c r="HB304" s="131" t="str">
        <f t="shared" si="61"/>
        <v>Vibraband w/Ludwig 9.5mm</v>
      </c>
    </row>
    <row r="305" spans="133:210" x14ac:dyDescent="0.3">
      <c r="EC305" s="14" t="s">
        <v>18</v>
      </c>
      <c r="ED305" s="12" t="s">
        <v>73</v>
      </c>
      <c r="EE305" s="12" t="s">
        <v>128</v>
      </c>
      <c r="EF305" s="129" t="s">
        <v>487</v>
      </c>
      <c r="GY305" s="12" t="s">
        <v>137</v>
      </c>
      <c r="GZ305" s="14" t="s">
        <v>518</v>
      </c>
      <c r="HA305" s="12" t="s">
        <v>424</v>
      </c>
      <c r="HB305" s="131" t="str">
        <f t="shared" si="61"/>
        <v>Triad Bracket 12mm</v>
      </c>
    </row>
    <row r="306" spans="133:210" x14ac:dyDescent="0.3">
      <c r="EC306" s="14" t="s">
        <v>18</v>
      </c>
      <c r="ED306" s="12" t="s">
        <v>73</v>
      </c>
      <c r="EE306" s="12" t="s">
        <v>129</v>
      </c>
      <c r="EF306" s="129" t="s">
        <v>488</v>
      </c>
      <c r="GY306" s="12" t="s">
        <v>137</v>
      </c>
      <c r="GZ306" s="14" t="s">
        <v>518</v>
      </c>
      <c r="HA306" s="12" t="s">
        <v>418</v>
      </c>
      <c r="HB306" s="131" t="str">
        <f t="shared" si="61"/>
        <v>Vibraband w/Triad 12mm</v>
      </c>
    </row>
    <row r="307" spans="133:210" x14ac:dyDescent="0.3">
      <c r="EC307" s="14" t="s">
        <v>18</v>
      </c>
      <c r="ED307" s="12" t="s">
        <v>73</v>
      </c>
      <c r="EE307" s="12" t="s">
        <v>131</v>
      </c>
      <c r="EF307" s="129" t="s">
        <v>489</v>
      </c>
      <c r="GY307" s="12" t="s">
        <v>137</v>
      </c>
      <c r="GZ307" s="14" t="s">
        <v>518</v>
      </c>
      <c r="HA307" s="12" t="s">
        <v>425</v>
      </c>
      <c r="HB307" s="131" t="str">
        <f t="shared" si="61"/>
        <v>Atlas Mount 12mm</v>
      </c>
    </row>
    <row r="308" spans="133:210" x14ac:dyDescent="0.3">
      <c r="EC308" s="14" t="s">
        <v>18</v>
      </c>
      <c r="ED308" s="12" t="s">
        <v>52</v>
      </c>
      <c r="EE308" s="12" t="s">
        <v>186</v>
      </c>
      <c r="EF308" s="129" t="s">
        <v>65</v>
      </c>
      <c r="GY308" s="12" t="s">
        <v>137</v>
      </c>
      <c r="GZ308" s="14" t="s">
        <v>16</v>
      </c>
      <c r="HA308" s="12" t="s">
        <v>413</v>
      </c>
      <c r="HB308" s="131" t="str">
        <f t="shared" si="61"/>
        <v>No Mounting Bracket</v>
      </c>
    </row>
    <row r="309" spans="133:210" x14ac:dyDescent="0.3">
      <c r="EC309" s="14" t="s">
        <v>18</v>
      </c>
      <c r="ED309" s="12" t="s">
        <v>52</v>
      </c>
      <c r="EE309" s="12" t="s">
        <v>189</v>
      </c>
      <c r="EF309" s="129" t="s">
        <v>72</v>
      </c>
      <c r="GY309" s="12" t="s">
        <v>137</v>
      </c>
      <c r="GZ309" s="14" t="s">
        <v>16</v>
      </c>
      <c r="HA309" s="12" t="s">
        <v>419</v>
      </c>
      <c r="HB309" s="131" t="str">
        <f t="shared" si="61"/>
        <v>Ludwig Classic 9.5mm</v>
      </c>
    </row>
    <row r="310" spans="133:210" x14ac:dyDescent="0.3">
      <c r="EC310" s="12" t="s">
        <v>18</v>
      </c>
      <c r="ED310" s="12" t="s">
        <v>52</v>
      </c>
      <c r="EE310" s="12" t="s">
        <v>190</v>
      </c>
      <c r="EF310" s="129" t="s">
        <v>75</v>
      </c>
      <c r="GY310" s="12" t="s">
        <v>137</v>
      </c>
      <c r="GZ310" s="14" t="s">
        <v>16</v>
      </c>
      <c r="HA310" s="12" t="s">
        <v>417</v>
      </c>
      <c r="HB310" s="131" t="str">
        <f t="shared" si="61"/>
        <v>Vibraband w/Ludwig 9.5mm</v>
      </c>
    </row>
    <row r="311" spans="133:210" x14ac:dyDescent="0.3">
      <c r="EC311" s="12" t="s">
        <v>18</v>
      </c>
      <c r="ED311" s="12" t="s">
        <v>52</v>
      </c>
      <c r="EE311" s="12" t="s">
        <v>195</v>
      </c>
      <c r="EF311" s="129" t="s">
        <v>87</v>
      </c>
      <c r="GY311" s="12" t="s">
        <v>137</v>
      </c>
      <c r="GZ311" s="14" t="s">
        <v>16</v>
      </c>
      <c r="HA311" s="12" t="s">
        <v>424</v>
      </c>
      <c r="HB311" s="131" t="str">
        <f t="shared" si="61"/>
        <v>Triad Bracket 12mm</v>
      </c>
    </row>
    <row r="312" spans="133:210" x14ac:dyDescent="0.3">
      <c r="EC312" s="14" t="s">
        <v>18</v>
      </c>
      <c r="ED312" s="12" t="s">
        <v>52</v>
      </c>
      <c r="EE312" s="12" t="s">
        <v>191</v>
      </c>
      <c r="EF312" s="129" t="s">
        <v>80</v>
      </c>
      <c r="GY312" s="12" t="s">
        <v>137</v>
      </c>
      <c r="GZ312" s="14" t="s">
        <v>16</v>
      </c>
      <c r="HA312" s="12" t="s">
        <v>418</v>
      </c>
      <c r="HB312" s="131" t="str">
        <f t="shared" si="61"/>
        <v>Vibraband w/Triad 12mm</v>
      </c>
    </row>
    <row r="313" spans="133:210" x14ac:dyDescent="0.3">
      <c r="EC313" s="14" t="s">
        <v>18</v>
      </c>
      <c r="ED313" s="12" t="s">
        <v>52</v>
      </c>
      <c r="EE313" s="12" t="s">
        <v>196</v>
      </c>
      <c r="EF313" s="129" t="s">
        <v>89</v>
      </c>
      <c r="GY313" s="12" t="s">
        <v>137</v>
      </c>
      <c r="GZ313" s="14" t="s">
        <v>22</v>
      </c>
      <c r="HA313" s="12" t="s">
        <v>413</v>
      </c>
      <c r="HB313" s="131" t="str">
        <f t="shared" si="61"/>
        <v>No Mounting Bracket</v>
      </c>
    </row>
    <row r="314" spans="133:210" x14ac:dyDescent="0.3">
      <c r="EC314" s="14" t="s">
        <v>18</v>
      </c>
      <c r="ED314" s="12" t="s">
        <v>52</v>
      </c>
      <c r="EE314" s="12" t="s">
        <v>197</v>
      </c>
      <c r="EF314" s="129" t="s">
        <v>61</v>
      </c>
      <c r="GY314" s="12" t="s">
        <v>137</v>
      </c>
      <c r="GZ314" s="14" t="s">
        <v>22</v>
      </c>
      <c r="HA314" s="12" t="s">
        <v>419</v>
      </c>
      <c r="HB314" s="131" t="str">
        <f t="shared" si="61"/>
        <v>Ludwig Classic 9.5mm</v>
      </c>
    </row>
    <row r="315" spans="133:210" x14ac:dyDescent="0.3">
      <c r="EC315" s="14" t="s">
        <v>18</v>
      </c>
      <c r="ED315" s="12" t="s">
        <v>52</v>
      </c>
      <c r="EE315" s="12" t="s">
        <v>193</v>
      </c>
      <c r="EF315" s="129" t="s">
        <v>82</v>
      </c>
      <c r="GY315" s="12" t="s">
        <v>137</v>
      </c>
      <c r="GZ315" s="14" t="s">
        <v>22</v>
      </c>
      <c r="HA315" s="12" t="s">
        <v>417</v>
      </c>
      <c r="HB315" s="131" t="str">
        <f t="shared" si="61"/>
        <v>Vibraband w/Ludwig 9.5mm</v>
      </c>
    </row>
    <row r="316" spans="133:210" x14ac:dyDescent="0.3">
      <c r="EC316" s="14" t="s">
        <v>18</v>
      </c>
      <c r="ED316" s="12" t="s">
        <v>52</v>
      </c>
      <c r="EE316" s="12" t="s">
        <v>198</v>
      </c>
      <c r="EF316" s="129" t="s">
        <v>91</v>
      </c>
      <c r="GY316" s="12" t="s">
        <v>137</v>
      </c>
      <c r="GZ316" s="14" t="s">
        <v>22</v>
      </c>
      <c r="HA316" s="12" t="s">
        <v>424</v>
      </c>
      <c r="HB316" s="131" t="str">
        <f t="shared" si="61"/>
        <v>Triad Bracket 12mm</v>
      </c>
    </row>
    <row r="317" spans="133:210" x14ac:dyDescent="0.3">
      <c r="EC317" s="14" t="s">
        <v>18</v>
      </c>
      <c r="ED317" s="12" t="s">
        <v>52</v>
      </c>
      <c r="EE317" s="12" t="s">
        <v>194</v>
      </c>
      <c r="EF317" s="129" t="s">
        <v>84</v>
      </c>
      <c r="GY317" s="12" t="s">
        <v>137</v>
      </c>
      <c r="GZ317" s="14" t="s">
        <v>22</v>
      </c>
      <c r="HA317" s="12" t="s">
        <v>418</v>
      </c>
      <c r="HB317" s="131" t="str">
        <f t="shared" si="61"/>
        <v>Vibraband w/Triad 12mm</v>
      </c>
    </row>
    <row r="318" spans="133:210" x14ac:dyDescent="0.3">
      <c r="EC318" s="14" t="s">
        <v>18</v>
      </c>
      <c r="ED318" s="12" t="s">
        <v>52</v>
      </c>
      <c r="EE318" s="12" t="s">
        <v>203</v>
      </c>
      <c r="EF318" s="129" t="s">
        <v>443</v>
      </c>
      <c r="GY318" s="12" t="s">
        <v>137</v>
      </c>
      <c r="GZ318" s="14" t="s">
        <v>22</v>
      </c>
      <c r="HA318" s="12" t="s">
        <v>425</v>
      </c>
      <c r="HB318" s="131" t="str">
        <f t="shared" si="61"/>
        <v>Atlas Mount 12mm</v>
      </c>
    </row>
    <row r="319" spans="133:210" x14ac:dyDescent="0.3">
      <c r="EC319" s="14" t="s">
        <v>18</v>
      </c>
      <c r="ED319" s="12" t="s">
        <v>24</v>
      </c>
      <c r="EE319" s="12" t="s">
        <v>137</v>
      </c>
      <c r="EF319" s="129" t="s">
        <v>455</v>
      </c>
      <c r="GY319" s="12" t="s">
        <v>132</v>
      </c>
      <c r="GZ319" s="14" t="s">
        <v>22</v>
      </c>
      <c r="HA319" s="12" t="s">
        <v>413</v>
      </c>
      <c r="HB319" s="131" t="str">
        <f t="shared" si="61"/>
        <v>No Mounting Bracket</v>
      </c>
    </row>
    <row r="320" spans="133:210" x14ac:dyDescent="0.3">
      <c r="EC320" s="14" t="s">
        <v>18</v>
      </c>
      <c r="ED320" s="12" t="s">
        <v>24</v>
      </c>
      <c r="EE320" s="12" t="s">
        <v>138</v>
      </c>
      <c r="EF320" s="129" t="s">
        <v>456</v>
      </c>
      <c r="GY320" s="12" t="s">
        <v>132</v>
      </c>
      <c r="GZ320" s="14" t="s">
        <v>22</v>
      </c>
      <c r="HA320" s="12" t="s">
        <v>419</v>
      </c>
      <c r="HB320" s="131" t="str">
        <f t="shared" si="61"/>
        <v>Ludwig Classic 9.5mm</v>
      </c>
    </row>
    <row r="321" spans="133:210" x14ac:dyDescent="0.3">
      <c r="EC321" s="14" t="s">
        <v>18</v>
      </c>
      <c r="ED321" s="12" t="s">
        <v>24</v>
      </c>
      <c r="EE321" s="12" t="s">
        <v>139</v>
      </c>
      <c r="EF321" s="129" t="s">
        <v>457</v>
      </c>
      <c r="GY321" s="12" t="s">
        <v>132</v>
      </c>
      <c r="GZ321" s="14" t="s">
        <v>22</v>
      </c>
      <c r="HA321" s="12" t="s">
        <v>424</v>
      </c>
      <c r="HB321" s="131" t="str">
        <f t="shared" si="61"/>
        <v>Triad Bracket 12mm</v>
      </c>
    </row>
    <row r="322" spans="133:210" x14ac:dyDescent="0.3">
      <c r="EC322" s="14" t="s">
        <v>18</v>
      </c>
      <c r="ED322" s="12" t="s">
        <v>24</v>
      </c>
      <c r="EE322" s="12" t="s">
        <v>140</v>
      </c>
      <c r="EF322" s="129" t="s">
        <v>458</v>
      </c>
      <c r="GY322" s="12" t="s">
        <v>132</v>
      </c>
      <c r="GZ322" s="14" t="s">
        <v>22</v>
      </c>
      <c r="HA322" s="12" t="s">
        <v>425</v>
      </c>
      <c r="HB322" s="131" t="str">
        <f t="shared" si="61"/>
        <v>Atlas Mount 12mm</v>
      </c>
    </row>
    <row r="323" spans="133:210" x14ac:dyDescent="0.3">
      <c r="EC323" s="14" t="s">
        <v>18</v>
      </c>
      <c r="ED323" s="12" t="s">
        <v>24</v>
      </c>
      <c r="EE323" s="12" t="s">
        <v>141</v>
      </c>
      <c r="EF323" s="129" t="s">
        <v>459</v>
      </c>
      <c r="GY323" s="12" t="s">
        <v>134</v>
      </c>
      <c r="GZ323" s="14" t="s">
        <v>518</v>
      </c>
      <c r="HA323" s="12" t="s">
        <v>413</v>
      </c>
      <c r="HB323" s="131" t="str">
        <f t="shared" si="61"/>
        <v>No Mounting Bracket</v>
      </c>
    </row>
    <row r="324" spans="133:210" x14ac:dyDescent="0.3">
      <c r="EC324" s="14" t="s">
        <v>18</v>
      </c>
      <c r="ED324" s="12" t="s">
        <v>24</v>
      </c>
      <c r="EE324" s="12" t="s">
        <v>143</v>
      </c>
      <c r="EF324" s="129" t="s">
        <v>460</v>
      </c>
      <c r="GY324" s="12" t="s">
        <v>134</v>
      </c>
      <c r="GZ324" s="14" t="s">
        <v>518</v>
      </c>
      <c r="HA324" s="12" t="s">
        <v>419</v>
      </c>
      <c r="HB324" s="131" t="str">
        <f t="shared" si="61"/>
        <v>Ludwig Classic 9.5mm</v>
      </c>
    </row>
    <row r="325" spans="133:210" x14ac:dyDescent="0.3">
      <c r="EC325" s="14" t="s">
        <v>18</v>
      </c>
      <c r="ED325" s="12" t="s">
        <v>24</v>
      </c>
      <c r="EE325" s="12" t="s">
        <v>144</v>
      </c>
      <c r="EF325" s="129" t="s">
        <v>461</v>
      </c>
      <c r="GY325" s="12" t="s">
        <v>134</v>
      </c>
      <c r="GZ325" s="14" t="s">
        <v>518</v>
      </c>
      <c r="HA325" s="12" t="s">
        <v>417</v>
      </c>
      <c r="HB325" s="131" t="str">
        <f t="shared" si="61"/>
        <v>Vibraband w/Ludwig 9.5mm</v>
      </c>
    </row>
    <row r="326" spans="133:210" x14ac:dyDescent="0.3">
      <c r="EC326" s="14" t="s">
        <v>18</v>
      </c>
      <c r="ED326" s="12" t="s">
        <v>24</v>
      </c>
      <c r="EE326" s="12" t="s">
        <v>146</v>
      </c>
      <c r="EF326" s="129" t="s">
        <v>462</v>
      </c>
      <c r="GY326" s="12" t="s">
        <v>134</v>
      </c>
      <c r="GZ326" s="14" t="s">
        <v>518</v>
      </c>
      <c r="HA326" s="12" t="s">
        <v>424</v>
      </c>
      <c r="HB326" s="131" t="str">
        <f t="shared" si="61"/>
        <v>Triad Bracket 12mm</v>
      </c>
    </row>
    <row r="327" spans="133:210" x14ac:dyDescent="0.3">
      <c r="EC327" s="14" t="s">
        <v>18</v>
      </c>
      <c r="ED327" s="12" t="s">
        <v>24</v>
      </c>
      <c r="EE327" s="12" t="s">
        <v>147</v>
      </c>
      <c r="EF327" s="129" t="s">
        <v>463</v>
      </c>
      <c r="GY327" s="12" t="s">
        <v>134</v>
      </c>
      <c r="GZ327" s="14" t="s">
        <v>518</v>
      </c>
      <c r="HA327" s="12" t="s">
        <v>418</v>
      </c>
      <c r="HB327" s="131" t="str">
        <f t="shared" si="61"/>
        <v>Vibraband w/Triad 12mm</v>
      </c>
    </row>
    <row r="328" spans="133:210" x14ac:dyDescent="0.3">
      <c r="EC328" s="14" t="s">
        <v>18</v>
      </c>
      <c r="ED328" s="12" t="s">
        <v>24</v>
      </c>
      <c r="EE328" s="12" t="s">
        <v>148</v>
      </c>
      <c r="EF328" s="129" t="s">
        <v>464</v>
      </c>
      <c r="GY328" s="12" t="s">
        <v>134</v>
      </c>
      <c r="GZ328" s="14" t="s">
        <v>518</v>
      </c>
      <c r="HA328" s="12" t="s">
        <v>425</v>
      </c>
      <c r="HB328" s="131" t="str">
        <f t="shared" si="61"/>
        <v>Atlas Mount 12mm</v>
      </c>
    </row>
    <row r="329" spans="133:210" x14ac:dyDescent="0.3">
      <c r="EC329" s="14" t="s">
        <v>18</v>
      </c>
      <c r="ED329" s="12" t="s">
        <v>24</v>
      </c>
      <c r="EE329" s="12" t="s">
        <v>149</v>
      </c>
      <c r="EF329" s="129" t="s">
        <v>465</v>
      </c>
      <c r="GY329" s="12" t="s">
        <v>134</v>
      </c>
      <c r="GZ329" s="14" t="s">
        <v>16</v>
      </c>
      <c r="HA329" s="12" t="s">
        <v>413</v>
      </c>
      <c r="HB329" s="131" t="str">
        <f t="shared" si="61"/>
        <v>No Mounting Bracket</v>
      </c>
    </row>
    <row r="330" spans="133:210" x14ac:dyDescent="0.3">
      <c r="EC330" s="14" t="s">
        <v>18</v>
      </c>
      <c r="ED330" s="12" t="s">
        <v>24</v>
      </c>
      <c r="EE330" s="12" t="s">
        <v>150</v>
      </c>
      <c r="EF330" s="129" t="s">
        <v>466</v>
      </c>
      <c r="GY330" s="12" t="s">
        <v>134</v>
      </c>
      <c r="GZ330" s="14" t="s">
        <v>16</v>
      </c>
      <c r="HA330" s="12" t="s">
        <v>419</v>
      </c>
      <c r="HB330" s="131" t="str">
        <f t="shared" ref="HB330:HB393" si="62">INDEX($GV$3:$GV$12,MATCH(HA330,$GU$3:$GU$12,0))</f>
        <v>Ludwig Classic 9.5mm</v>
      </c>
    </row>
    <row r="331" spans="133:210" x14ac:dyDescent="0.3">
      <c r="EC331" s="14" t="s">
        <v>18</v>
      </c>
      <c r="ED331" s="12" t="s">
        <v>24</v>
      </c>
      <c r="EE331" s="12" t="s">
        <v>151</v>
      </c>
      <c r="EF331" s="129" t="s">
        <v>467</v>
      </c>
      <c r="GY331" s="12" t="s">
        <v>134</v>
      </c>
      <c r="GZ331" s="14" t="s">
        <v>16</v>
      </c>
      <c r="HA331" s="12" t="s">
        <v>417</v>
      </c>
      <c r="HB331" s="131" t="str">
        <f t="shared" si="62"/>
        <v>Vibraband w/Ludwig 9.5mm</v>
      </c>
    </row>
    <row r="332" spans="133:210" x14ac:dyDescent="0.3">
      <c r="EC332" s="14" t="s">
        <v>18</v>
      </c>
      <c r="ED332" s="12" t="s">
        <v>24</v>
      </c>
      <c r="EE332" s="12" t="s">
        <v>157</v>
      </c>
      <c r="EF332" s="129" t="s">
        <v>468</v>
      </c>
      <c r="GY332" s="12" t="s">
        <v>134</v>
      </c>
      <c r="GZ332" s="14" t="s">
        <v>16</v>
      </c>
      <c r="HA332" s="12" t="s">
        <v>424</v>
      </c>
      <c r="HB332" s="131" t="str">
        <f t="shared" si="62"/>
        <v>Triad Bracket 12mm</v>
      </c>
    </row>
    <row r="333" spans="133:210" x14ac:dyDescent="0.3">
      <c r="EC333" s="14" t="s">
        <v>18</v>
      </c>
      <c r="ED333" s="12" t="s">
        <v>24</v>
      </c>
      <c r="EE333" s="12" t="s">
        <v>163</v>
      </c>
      <c r="EF333" s="129" t="s">
        <v>469</v>
      </c>
      <c r="GY333" s="12" t="s">
        <v>134</v>
      </c>
      <c r="GZ333" s="14" t="s">
        <v>16</v>
      </c>
      <c r="HA333" s="12" t="s">
        <v>418</v>
      </c>
      <c r="HB333" s="131" t="str">
        <f t="shared" si="62"/>
        <v>Vibraband w/Triad 12mm</v>
      </c>
    </row>
    <row r="334" spans="133:210" x14ac:dyDescent="0.3">
      <c r="EC334" s="14" t="s">
        <v>18</v>
      </c>
      <c r="ED334" s="12" t="s">
        <v>24</v>
      </c>
      <c r="EE334" s="12" t="s">
        <v>169</v>
      </c>
      <c r="EF334" s="129" t="s">
        <v>470</v>
      </c>
      <c r="GY334" s="12" t="s">
        <v>134</v>
      </c>
      <c r="GZ334" s="14" t="s">
        <v>22</v>
      </c>
      <c r="HA334" s="12" t="s">
        <v>413</v>
      </c>
      <c r="HB334" s="131" t="str">
        <f t="shared" si="62"/>
        <v>No Mounting Bracket</v>
      </c>
    </row>
    <row r="335" spans="133:210" x14ac:dyDescent="0.3">
      <c r="EC335" s="14" t="s">
        <v>18</v>
      </c>
      <c r="ED335" s="12" t="s">
        <v>24</v>
      </c>
      <c r="EE335" s="12" t="s">
        <v>175</v>
      </c>
      <c r="EF335" s="129" t="s">
        <v>471</v>
      </c>
      <c r="GY335" s="12" t="s">
        <v>134</v>
      </c>
      <c r="GZ335" s="14" t="s">
        <v>22</v>
      </c>
      <c r="HA335" s="12" t="s">
        <v>419</v>
      </c>
      <c r="HB335" s="131" t="str">
        <f t="shared" si="62"/>
        <v>Ludwig Classic 9.5mm</v>
      </c>
    </row>
    <row r="336" spans="133:210" x14ac:dyDescent="0.3">
      <c r="EC336" s="14" t="s">
        <v>18</v>
      </c>
      <c r="ED336" s="12" t="s">
        <v>24</v>
      </c>
      <c r="EE336" s="12" t="s">
        <v>176</v>
      </c>
      <c r="EF336" s="129" t="s">
        <v>472</v>
      </c>
      <c r="GY336" s="12" t="s">
        <v>134</v>
      </c>
      <c r="GZ336" s="14" t="s">
        <v>22</v>
      </c>
      <c r="HA336" s="12" t="s">
        <v>417</v>
      </c>
      <c r="HB336" s="131" t="str">
        <f t="shared" si="62"/>
        <v>Vibraband w/Ludwig 9.5mm</v>
      </c>
    </row>
    <row r="337" spans="133:210" x14ac:dyDescent="0.3">
      <c r="EC337" s="14" t="s">
        <v>18</v>
      </c>
      <c r="ED337" s="12" t="s">
        <v>24</v>
      </c>
      <c r="EE337" s="12" t="s">
        <v>178</v>
      </c>
      <c r="EF337" s="129" t="s">
        <v>473</v>
      </c>
      <c r="GY337" s="12" t="s">
        <v>134</v>
      </c>
      <c r="GZ337" s="14" t="s">
        <v>22</v>
      </c>
      <c r="HA337" s="12" t="s">
        <v>424</v>
      </c>
      <c r="HB337" s="131" t="str">
        <f t="shared" si="62"/>
        <v>Triad Bracket 12mm</v>
      </c>
    </row>
    <row r="338" spans="133:210" x14ac:dyDescent="0.3">
      <c r="EC338" s="14" t="s">
        <v>18</v>
      </c>
      <c r="ED338" s="12" t="s">
        <v>24</v>
      </c>
      <c r="EE338" s="12" t="s">
        <v>179</v>
      </c>
      <c r="EF338" s="129" t="s">
        <v>474</v>
      </c>
      <c r="GY338" s="12" t="s">
        <v>134</v>
      </c>
      <c r="GZ338" s="14" t="s">
        <v>22</v>
      </c>
      <c r="HA338" s="12" t="s">
        <v>418</v>
      </c>
      <c r="HB338" s="131" t="str">
        <f t="shared" si="62"/>
        <v>Vibraband w/Triad 12mm</v>
      </c>
    </row>
    <row r="339" spans="133:210" x14ac:dyDescent="0.3">
      <c r="EC339" s="14" t="s">
        <v>18</v>
      </c>
      <c r="ED339" s="12" t="s">
        <v>24</v>
      </c>
      <c r="EE339" s="12" t="s">
        <v>180</v>
      </c>
      <c r="EF339" s="129" t="s">
        <v>475</v>
      </c>
      <c r="GY339" s="12" t="s">
        <v>134</v>
      </c>
      <c r="GZ339" s="14" t="s">
        <v>22</v>
      </c>
      <c r="HA339" s="12" t="s">
        <v>425</v>
      </c>
      <c r="HB339" s="131" t="str">
        <f t="shared" si="62"/>
        <v>Atlas Mount 12mm</v>
      </c>
    </row>
    <row r="340" spans="133:210" x14ac:dyDescent="0.3">
      <c r="EC340" s="14" t="s">
        <v>18</v>
      </c>
      <c r="ED340" s="12" t="s">
        <v>24</v>
      </c>
      <c r="EE340" s="12" t="s">
        <v>181</v>
      </c>
      <c r="EF340" s="129" t="s">
        <v>476</v>
      </c>
      <c r="GY340" s="12" t="s">
        <v>138</v>
      </c>
      <c r="GZ340" s="14" t="s">
        <v>22</v>
      </c>
      <c r="HA340" s="12" t="s">
        <v>413</v>
      </c>
      <c r="HB340" s="131" t="str">
        <f t="shared" si="62"/>
        <v>No Mounting Bracket</v>
      </c>
    </row>
    <row r="341" spans="133:210" x14ac:dyDescent="0.3">
      <c r="EC341" s="14" t="s">
        <v>18</v>
      </c>
      <c r="ED341" s="12" t="s">
        <v>24</v>
      </c>
      <c r="EE341" s="12" t="s">
        <v>182</v>
      </c>
      <c r="EF341" s="129" t="s">
        <v>477</v>
      </c>
      <c r="GY341" s="12" t="s">
        <v>138</v>
      </c>
      <c r="GZ341" s="14" t="s">
        <v>22</v>
      </c>
      <c r="HA341" s="12" t="s">
        <v>419</v>
      </c>
      <c r="HB341" s="131" t="str">
        <f t="shared" si="62"/>
        <v>Ludwig Classic 9.5mm</v>
      </c>
    </row>
    <row r="342" spans="133:210" x14ac:dyDescent="0.3">
      <c r="EC342" s="14" t="s">
        <v>18</v>
      </c>
      <c r="ED342" s="12" t="s">
        <v>24</v>
      </c>
      <c r="EE342" s="12" t="s">
        <v>183</v>
      </c>
      <c r="EF342" s="129" t="s">
        <v>478</v>
      </c>
      <c r="GY342" s="12" t="s">
        <v>138</v>
      </c>
      <c r="GZ342" s="14" t="s">
        <v>22</v>
      </c>
      <c r="HA342" s="12" t="s">
        <v>417</v>
      </c>
      <c r="HB342" s="131" t="str">
        <f t="shared" si="62"/>
        <v>Vibraband w/Ludwig 9.5mm</v>
      </c>
    </row>
    <row r="343" spans="133:210" x14ac:dyDescent="0.3">
      <c r="EC343" s="14" t="s">
        <v>18</v>
      </c>
      <c r="ED343" s="12" t="s">
        <v>24</v>
      </c>
      <c r="EE343" s="12" t="s">
        <v>184</v>
      </c>
      <c r="EF343" s="129" t="s">
        <v>479</v>
      </c>
      <c r="GY343" s="12" t="s">
        <v>138</v>
      </c>
      <c r="GZ343" s="14" t="s">
        <v>22</v>
      </c>
      <c r="HA343" s="12" t="s">
        <v>424</v>
      </c>
      <c r="HB343" s="131" t="str">
        <f t="shared" si="62"/>
        <v>Triad Bracket 12mm</v>
      </c>
    </row>
    <row r="344" spans="133:210" x14ac:dyDescent="0.3">
      <c r="GY344" s="12" t="s">
        <v>138</v>
      </c>
      <c r="GZ344" s="14" t="s">
        <v>22</v>
      </c>
      <c r="HA344" s="12" t="s">
        <v>418</v>
      </c>
      <c r="HB344" s="131" t="str">
        <f t="shared" si="62"/>
        <v>Vibraband w/Triad 12mm</v>
      </c>
    </row>
    <row r="345" spans="133:210" x14ac:dyDescent="0.3">
      <c r="GY345" s="12" t="s">
        <v>138</v>
      </c>
      <c r="GZ345" s="14" t="s">
        <v>22</v>
      </c>
      <c r="HA345" s="12" t="s">
        <v>425</v>
      </c>
      <c r="HB345" s="131" t="str">
        <f t="shared" si="62"/>
        <v>Atlas Mount 12mm</v>
      </c>
    </row>
    <row r="346" spans="133:210" x14ac:dyDescent="0.3">
      <c r="GY346" s="12" t="s">
        <v>139</v>
      </c>
      <c r="GZ346" s="14" t="s">
        <v>518</v>
      </c>
      <c r="HA346" s="12" t="s">
        <v>413</v>
      </c>
      <c r="HB346" s="131" t="str">
        <f t="shared" si="62"/>
        <v>No Mounting Bracket</v>
      </c>
    </row>
    <row r="347" spans="133:210" x14ac:dyDescent="0.3">
      <c r="GY347" s="12" t="s">
        <v>139</v>
      </c>
      <c r="GZ347" s="14" t="s">
        <v>518</v>
      </c>
      <c r="HA347" s="12" t="s">
        <v>419</v>
      </c>
      <c r="HB347" s="131" t="str">
        <f t="shared" si="62"/>
        <v>Ludwig Classic 9.5mm</v>
      </c>
    </row>
    <row r="348" spans="133:210" x14ac:dyDescent="0.3">
      <c r="GY348" s="12" t="s">
        <v>139</v>
      </c>
      <c r="GZ348" s="14" t="s">
        <v>518</v>
      </c>
      <c r="HA348" s="12" t="s">
        <v>417</v>
      </c>
      <c r="HB348" s="131" t="str">
        <f t="shared" si="62"/>
        <v>Vibraband w/Ludwig 9.5mm</v>
      </c>
    </row>
    <row r="349" spans="133:210" x14ac:dyDescent="0.3">
      <c r="GY349" s="12" t="s">
        <v>139</v>
      </c>
      <c r="GZ349" s="14" t="s">
        <v>518</v>
      </c>
      <c r="HA349" s="12" t="s">
        <v>424</v>
      </c>
      <c r="HB349" s="131" t="str">
        <f t="shared" si="62"/>
        <v>Triad Bracket 12mm</v>
      </c>
    </row>
    <row r="350" spans="133:210" x14ac:dyDescent="0.3">
      <c r="GY350" s="12" t="s">
        <v>139</v>
      </c>
      <c r="GZ350" s="14" t="s">
        <v>518</v>
      </c>
      <c r="HA350" s="12" t="s">
        <v>418</v>
      </c>
      <c r="HB350" s="131" t="str">
        <f t="shared" si="62"/>
        <v>Vibraband w/Triad 12mm</v>
      </c>
    </row>
    <row r="351" spans="133:210" x14ac:dyDescent="0.3">
      <c r="GY351" s="12" t="s">
        <v>139</v>
      </c>
      <c r="GZ351" s="14" t="s">
        <v>518</v>
      </c>
      <c r="HA351" s="12" t="s">
        <v>425</v>
      </c>
      <c r="HB351" s="131" t="str">
        <f t="shared" si="62"/>
        <v>Atlas Mount 12mm</v>
      </c>
    </row>
    <row r="352" spans="133:210" x14ac:dyDescent="0.3">
      <c r="GY352" s="12" t="s">
        <v>139</v>
      </c>
      <c r="GZ352" s="14" t="s">
        <v>16</v>
      </c>
      <c r="HA352" s="12" t="s">
        <v>413</v>
      </c>
      <c r="HB352" s="131" t="str">
        <f t="shared" si="62"/>
        <v>No Mounting Bracket</v>
      </c>
    </row>
    <row r="353" spans="207:210" x14ac:dyDescent="0.3">
      <c r="GY353" s="12" t="s">
        <v>139</v>
      </c>
      <c r="GZ353" s="14" t="s">
        <v>16</v>
      </c>
      <c r="HA353" s="12" t="s">
        <v>419</v>
      </c>
      <c r="HB353" s="131" t="str">
        <f t="shared" si="62"/>
        <v>Ludwig Classic 9.5mm</v>
      </c>
    </row>
    <row r="354" spans="207:210" x14ac:dyDescent="0.3">
      <c r="GY354" s="12" t="s">
        <v>139</v>
      </c>
      <c r="GZ354" s="14" t="s">
        <v>16</v>
      </c>
      <c r="HA354" s="12" t="s">
        <v>417</v>
      </c>
      <c r="HB354" s="131" t="str">
        <f t="shared" si="62"/>
        <v>Vibraband w/Ludwig 9.5mm</v>
      </c>
    </row>
    <row r="355" spans="207:210" x14ac:dyDescent="0.3">
      <c r="GY355" s="12" t="s">
        <v>139</v>
      </c>
      <c r="GZ355" s="14" t="s">
        <v>16</v>
      </c>
      <c r="HA355" s="12" t="s">
        <v>424</v>
      </c>
      <c r="HB355" s="131" t="str">
        <f t="shared" si="62"/>
        <v>Triad Bracket 12mm</v>
      </c>
    </row>
    <row r="356" spans="207:210" x14ac:dyDescent="0.3">
      <c r="GY356" s="12" t="s">
        <v>139</v>
      </c>
      <c r="GZ356" s="14" t="s">
        <v>16</v>
      </c>
      <c r="HA356" s="12" t="s">
        <v>418</v>
      </c>
      <c r="HB356" s="131" t="str">
        <f t="shared" si="62"/>
        <v>Vibraband w/Triad 12mm</v>
      </c>
    </row>
    <row r="357" spans="207:210" x14ac:dyDescent="0.3">
      <c r="GY357" s="12" t="s">
        <v>139</v>
      </c>
      <c r="GZ357" s="14" t="s">
        <v>22</v>
      </c>
      <c r="HA357" s="12" t="s">
        <v>413</v>
      </c>
      <c r="HB357" s="131" t="str">
        <f t="shared" si="62"/>
        <v>No Mounting Bracket</v>
      </c>
    </row>
    <row r="358" spans="207:210" x14ac:dyDescent="0.3">
      <c r="GY358" s="12" t="s">
        <v>139</v>
      </c>
      <c r="GZ358" s="14" t="s">
        <v>22</v>
      </c>
      <c r="HA358" s="12" t="s">
        <v>419</v>
      </c>
      <c r="HB358" s="131" t="str">
        <f t="shared" si="62"/>
        <v>Ludwig Classic 9.5mm</v>
      </c>
    </row>
    <row r="359" spans="207:210" x14ac:dyDescent="0.3">
      <c r="GY359" s="12" t="s">
        <v>139</v>
      </c>
      <c r="GZ359" s="14" t="s">
        <v>22</v>
      </c>
      <c r="HA359" s="12" t="s">
        <v>417</v>
      </c>
      <c r="HB359" s="131" t="str">
        <f t="shared" si="62"/>
        <v>Vibraband w/Ludwig 9.5mm</v>
      </c>
    </row>
    <row r="360" spans="207:210" x14ac:dyDescent="0.3">
      <c r="GY360" s="12" t="s">
        <v>139</v>
      </c>
      <c r="GZ360" s="14" t="s">
        <v>22</v>
      </c>
      <c r="HA360" s="12" t="s">
        <v>424</v>
      </c>
      <c r="HB360" s="131" t="str">
        <f t="shared" si="62"/>
        <v>Triad Bracket 12mm</v>
      </c>
    </row>
    <row r="361" spans="207:210" x14ac:dyDescent="0.3">
      <c r="GY361" s="12" t="s">
        <v>139</v>
      </c>
      <c r="GZ361" s="14" t="s">
        <v>22</v>
      </c>
      <c r="HA361" s="12" t="s">
        <v>418</v>
      </c>
      <c r="HB361" s="131" t="str">
        <f t="shared" si="62"/>
        <v>Vibraband w/Triad 12mm</v>
      </c>
    </row>
    <row r="362" spans="207:210" x14ac:dyDescent="0.3">
      <c r="GY362" s="12" t="s">
        <v>139</v>
      </c>
      <c r="GZ362" s="14" t="s">
        <v>22</v>
      </c>
      <c r="HA362" s="12" t="s">
        <v>425</v>
      </c>
      <c r="HB362" s="131" t="str">
        <f t="shared" si="62"/>
        <v>Atlas Mount 12mm</v>
      </c>
    </row>
    <row r="363" spans="207:210" x14ac:dyDescent="0.3">
      <c r="GY363" s="12" t="s">
        <v>141</v>
      </c>
      <c r="GZ363" s="14" t="s">
        <v>518</v>
      </c>
      <c r="HA363" s="12" t="s">
        <v>413</v>
      </c>
      <c r="HB363" s="131" t="str">
        <f t="shared" si="62"/>
        <v>No Mounting Bracket</v>
      </c>
    </row>
    <row r="364" spans="207:210" x14ac:dyDescent="0.3">
      <c r="GY364" s="12" t="s">
        <v>141</v>
      </c>
      <c r="GZ364" s="14" t="s">
        <v>518</v>
      </c>
      <c r="HA364" s="12" t="s">
        <v>419</v>
      </c>
      <c r="HB364" s="131" t="str">
        <f t="shared" si="62"/>
        <v>Ludwig Classic 9.5mm</v>
      </c>
    </row>
    <row r="365" spans="207:210" x14ac:dyDescent="0.3">
      <c r="GY365" s="12" t="s">
        <v>141</v>
      </c>
      <c r="GZ365" s="14" t="s">
        <v>518</v>
      </c>
      <c r="HA365" s="12" t="s">
        <v>417</v>
      </c>
      <c r="HB365" s="131" t="str">
        <f t="shared" si="62"/>
        <v>Vibraband w/Ludwig 9.5mm</v>
      </c>
    </row>
    <row r="366" spans="207:210" x14ac:dyDescent="0.3">
      <c r="GY366" s="12" t="s">
        <v>141</v>
      </c>
      <c r="GZ366" s="14" t="s">
        <v>518</v>
      </c>
      <c r="HA366" s="12" t="s">
        <v>424</v>
      </c>
      <c r="HB366" s="131" t="str">
        <f t="shared" si="62"/>
        <v>Triad Bracket 12mm</v>
      </c>
    </row>
    <row r="367" spans="207:210" x14ac:dyDescent="0.3">
      <c r="GY367" s="12" t="s">
        <v>141</v>
      </c>
      <c r="GZ367" s="14" t="s">
        <v>518</v>
      </c>
      <c r="HA367" s="12" t="s">
        <v>418</v>
      </c>
      <c r="HB367" s="131" t="str">
        <f t="shared" si="62"/>
        <v>Vibraband w/Triad 12mm</v>
      </c>
    </row>
    <row r="368" spans="207:210" x14ac:dyDescent="0.3">
      <c r="GY368" s="12" t="s">
        <v>141</v>
      </c>
      <c r="GZ368" s="14" t="s">
        <v>518</v>
      </c>
      <c r="HA368" s="12" t="s">
        <v>425</v>
      </c>
      <c r="HB368" s="131" t="str">
        <f t="shared" si="62"/>
        <v>Atlas Mount 12mm</v>
      </c>
    </row>
    <row r="369" spans="207:210" x14ac:dyDescent="0.3">
      <c r="GY369" s="12" t="s">
        <v>141</v>
      </c>
      <c r="GZ369" s="14" t="s">
        <v>16</v>
      </c>
      <c r="HA369" s="12" t="s">
        <v>413</v>
      </c>
      <c r="HB369" s="131" t="str">
        <f t="shared" si="62"/>
        <v>No Mounting Bracket</v>
      </c>
    </row>
    <row r="370" spans="207:210" x14ac:dyDescent="0.3">
      <c r="GY370" s="12" t="s">
        <v>141</v>
      </c>
      <c r="GZ370" s="14" t="s">
        <v>16</v>
      </c>
      <c r="HA370" s="12" t="s">
        <v>419</v>
      </c>
      <c r="HB370" s="131" t="str">
        <f t="shared" si="62"/>
        <v>Ludwig Classic 9.5mm</v>
      </c>
    </row>
    <row r="371" spans="207:210" x14ac:dyDescent="0.3">
      <c r="GY371" s="12" t="s">
        <v>141</v>
      </c>
      <c r="GZ371" s="14" t="s">
        <v>16</v>
      </c>
      <c r="HA371" s="12" t="s">
        <v>417</v>
      </c>
      <c r="HB371" s="131" t="str">
        <f t="shared" si="62"/>
        <v>Vibraband w/Ludwig 9.5mm</v>
      </c>
    </row>
    <row r="372" spans="207:210" x14ac:dyDescent="0.3">
      <c r="GY372" s="12" t="s">
        <v>141</v>
      </c>
      <c r="GZ372" s="14" t="s">
        <v>16</v>
      </c>
      <c r="HA372" s="12" t="s">
        <v>424</v>
      </c>
      <c r="HB372" s="131" t="str">
        <f t="shared" si="62"/>
        <v>Triad Bracket 12mm</v>
      </c>
    </row>
    <row r="373" spans="207:210" x14ac:dyDescent="0.3">
      <c r="GY373" s="12" t="s">
        <v>141</v>
      </c>
      <c r="GZ373" s="14" t="s">
        <v>16</v>
      </c>
      <c r="HA373" s="12" t="s">
        <v>418</v>
      </c>
      <c r="HB373" s="131" t="str">
        <f t="shared" si="62"/>
        <v>Vibraband w/Triad 12mm</v>
      </c>
    </row>
    <row r="374" spans="207:210" x14ac:dyDescent="0.3">
      <c r="GY374" s="12" t="s">
        <v>141</v>
      </c>
      <c r="GZ374" s="14" t="s">
        <v>22</v>
      </c>
      <c r="HA374" s="12" t="s">
        <v>413</v>
      </c>
      <c r="HB374" s="131" t="str">
        <f t="shared" si="62"/>
        <v>No Mounting Bracket</v>
      </c>
    </row>
    <row r="375" spans="207:210" x14ac:dyDescent="0.3">
      <c r="GY375" s="12" t="s">
        <v>141</v>
      </c>
      <c r="GZ375" s="14" t="s">
        <v>22</v>
      </c>
      <c r="HA375" s="12" t="s">
        <v>419</v>
      </c>
      <c r="HB375" s="131" t="str">
        <f t="shared" si="62"/>
        <v>Ludwig Classic 9.5mm</v>
      </c>
    </row>
    <row r="376" spans="207:210" x14ac:dyDescent="0.3">
      <c r="GY376" s="12" t="s">
        <v>141</v>
      </c>
      <c r="GZ376" s="14" t="s">
        <v>22</v>
      </c>
      <c r="HA376" s="12" t="s">
        <v>417</v>
      </c>
      <c r="HB376" s="131" t="str">
        <f t="shared" si="62"/>
        <v>Vibraband w/Ludwig 9.5mm</v>
      </c>
    </row>
    <row r="377" spans="207:210" x14ac:dyDescent="0.3">
      <c r="GY377" s="12" t="s">
        <v>141</v>
      </c>
      <c r="GZ377" s="14" t="s">
        <v>22</v>
      </c>
      <c r="HA377" s="12" t="s">
        <v>424</v>
      </c>
      <c r="HB377" s="131" t="str">
        <f t="shared" si="62"/>
        <v>Triad Bracket 12mm</v>
      </c>
    </row>
    <row r="378" spans="207:210" x14ac:dyDescent="0.3">
      <c r="GY378" s="12" t="s">
        <v>141</v>
      </c>
      <c r="GZ378" s="14" t="s">
        <v>22</v>
      </c>
      <c r="HA378" s="12" t="s">
        <v>418</v>
      </c>
      <c r="HB378" s="131" t="str">
        <f t="shared" si="62"/>
        <v>Vibraband w/Triad 12mm</v>
      </c>
    </row>
    <row r="379" spans="207:210" x14ac:dyDescent="0.3">
      <c r="GY379" s="12" t="s">
        <v>141</v>
      </c>
      <c r="GZ379" s="14" t="s">
        <v>22</v>
      </c>
      <c r="HA379" s="12" t="s">
        <v>425</v>
      </c>
      <c r="HB379" s="131" t="str">
        <f t="shared" si="62"/>
        <v>Atlas Mount 12mm</v>
      </c>
    </row>
    <row r="380" spans="207:210" x14ac:dyDescent="0.3">
      <c r="GY380" s="12" t="s">
        <v>133</v>
      </c>
      <c r="GZ380" s="14" t="s">
        <v>518</v>
      </c>
      <c r="HA380" s="12" t="s">
        <v>413</v>
      </c>
      <c r="HB380" s="131" t="str">
        <f t="shared" si="62"/>
        <v>No Mounting Bracket</v>
      </c>
    </row>
    <row r="381" spans="207:210" x14ac:dyDescent="0.3">
      <c r="GY381" s="12" t="s">
        <v>133</v>
      </c>
      <c r="GZ381" s="14" t="s">
        <v>518</v>
      </c>
      <c r="HA381" s="12" t="s">
        <v>419</v>
      </c>
      <c r="HB381" s="131" t="str">
        <f t="shared" si="62"/>
        <v>Ludwig Classic 9.5mm</v>
      </c>
    </row>
    <row r="382" spans="207:210" x14ac:dyDescent="0.3">
      <c r="GY382" s="12" t="s">
        <v>133</v>
      </c>
      <c r="GZ382" s="14" t="s">
        <v>518</v>
      </c>
      <c r="HA382" s="12" t="s">
        <v>424</v>
      </c>
      <c r="HB382" s="131" t="str">
        <f t="shared" si="62"/>
        <v>Triad Bracket 12mm</v>
      </c>
    </row>
    <row r="383" spans="207:210" x14ac:dyDescent="0.3">
      <c r="GY383" s="12" t="s">
        <v>133</v>
      </c>
      <c r="GZ383" s="14" t="s">
        <v>518</v>
      </c>
      <c r="HA383" s="12" t="s">
        <v>425</v>
      </c>
      <c r="HB383" s="131" t="str">
        <f t="shared" si="62"/>
        <v>Atlas Mount 12mm</v>
      </c>
    </row>
    <row r="384" spans="207:210" x14ac:dyDescent="0.3">
      <c r="GY384" s="12" t="s">
        <v>133</v>
      </c>
      <c r="GZ384" s="14" t="s">
        <v>16</v>
      </c>
      <c r="HA384" s="12" t="s">
        <v>413</v>
      </c>
      <c r="HB384" s="131" t="str">
        <f t="shared" si="62"/>
        <v>No Mounting Bracket</v>
      </c>
    </row>
    <row r="385" spans="207:210" x14ac:dyDescent="0.3">
      <c r="GY385" s="12" t="s">
        <v>133</v>
      </c>
      <c r="GZ385" s="14" t="s">
        <v>16</v>
      </c>
      <c r="HA385" s="12" t="s">
        <v>419</v>
      </c>
      <c r="HB385" s="131" t="str">
        <f t="shared" si="62"/>
        <v>Ludwig Classic 9.5mm</v>
      </c>
    </row>
    <row r="386" spans="207:210" x14ac:dyDescent="0.3">
      <c r="GY386" s="12" t="s">
        <v>133</v>
      </c>
      <c r="GZ386" s="14" t="s">
        <v>16</v>
      </c>
      <c r="HA386" s="12" t="s">
        <v>424</v>
      </c>
      <c r="HB386" s="131" t="str">
        <f t="shared" si="62"/>
        <v>Triad Bracket 12mm</v>
      </c>
    </row>
    <row r="387" spans="207:210" x14ac:dyDescent="0.3">
      <c r="GY387" s="12" t="s">
        <v>133</v>
      </c>
      <c r="GZ387" s="14" t="s">
        <v>22</v>
      </c>
      <c r="HA387" s="12" t="s">
        <v>413</v>
      </c>
      <c r="HB387" s="131" t="str">
        <f t="shared" si="62"/>
        <v>No Mounting Bracket</v>
      </c>
    </row>
    <row r="388" spans="207:210" x14ac:dyDescent="0.3">
      <c r="GY388" s="12" t="s">
        <v>133</v>
      </c>
      <c r="GZ388" s="14" t="s">
        <v>22</v>
      </c>
      <c r="HA388" s="12" t="s">
        <v>419</v>
      </c>
      <c r="HB388" s="131" t="str">
        <f t="shared" si="62"/>
        <v>Ludwig Classic 9.5mm</v>
      </c>
    </row>
    <row r="389" spans="207:210" x14ac:dyDescent="0.3">
      <c r="GY389" s="12" t="s">
        <v>133</v>
      </c>
      <c r="GZ389" s="14" t="s">
        <v>22</v>
      </c>
      <c r="HA389" s="12" t="s">
        <v>424</v>
      </c>
      <c r="HB389" s="131" t="str">
        <f t="shared" si="62"/>
        <v>Triad Bracket 12mm</v>
      </c>
    </row>
    <row r="390" spans="207:210" x14ac:dyDescent="0.3">
      <c r="GY390" s="12" t="s">
        <v>133</v>
      </c>
      <c r="GZ390" s="14" t="s">
        <v>22</v>
      </c>
      <c r="HA390" s="12" t="s">
        <v>425</v>
      </c>
      <c r="HB390" s="131" t="str">
        <f t="shared" si="62"/>
        <v>Atlas Mount 12mm</v>
      </c>
    </row>
    <row r="391" spans="207:210" x14ac:dyDescent="0.3">
      <c r="GY391" s="12" t="s">
        <v>136</v>
      </c>
      <c r="GZ391" s="14" t="s">
        <v>518</v>
      </c>
      <c r="HA391" s="12" t="s">
        <v>413</v>
      </c>
      <c r="HB391" s="131" t="str">
        <f t="shared" si="62"/>
        <v>No Mounting Bracket</v>
      </c>
    </row>
    <row r="392" spans="207:210" x14ac:dyDescent="0.3">
      <c r="GY392" s="12" t="s">
        <v>136</v>
      </c>
      <c r="GZ392" s="14" t="s">
        <v>518</v>
      </c>
      <c r="HA392" s="12" t="s">
        <v>419</v>
      </c>
      <c r="HB392" s="131" t="str">
        <f t="shared" si="62"/>
        <v>Ludwig Classic 9.5mm</v>
      </c>
    </row>
    <row r="393" spans="207:210" x14ac:dyDescent="0.3">
      <c r="GY393" s="12" t="s">
        <v>136</v>
      </c>
      <c r="GZ393" s="14" t="s">
        <v>518</v>
      </c>
      <c r="HA393" s="12" t="s">
        <v>417</v>
      </c>
      <c r="HB393" s="131" t="str">
        <f t="shared" si="62"/>
        <v>Vibraband w/Ludwig 9.5mm</v>
      </c>
    </row>
    <row r="394" spans="207:210" x14ac:dyDescent="0.3">
      <c r="GY394" s="12" t="s">
        <v>136</v>
      </c>
      <c r="GZ394" s="14" t="s">
        <v>518</v>
      </c>
      <c r="HA394" s="12" t="s">
        <v>424</v>
      </c>
      <c r="HB394" s="131" t="str">
        <f t="shared" ref="HB394:HB457" si="63">INDEX($GV$3:$GV$12,MATCH(HA394,$GU$3:$GU$12,0))</f>
        <v>Triad Bracket 12mm</v>
      </c>
    </row>
    <row r="395" spans="207:210" x14ac:dyDescent="0.3">
      <c r="GY395" s="12" t="s">
        <v>136</v>
      </c>
      <c r="GZ395" s="14" t="s">
        <v>518</v>
      </c>
      <c r="HA395" s="12" t="s">
        <v>418</v>
      </c>
      <c r="HB395" s="131" t="str">
        <f t="shared" si="63"/>
        <v>Vibraband w/Triad 12mm</v>
      </c>
    </row>
    <row r="396" spans="207:210" x14ac:dyDescent="0.3">
      <c r="GY396" s="12" t="s">
        <v>136</v>
      </c>
      <c r="GZ396" s="14" t="s">
        <v>518</v>
      </c>
      <c r="HA396" s="12" t="s">
        <v>425</v>
      </c>
      <c r="HB396" s="131" t="str">
        <f t="shared" si="63"/>
        <v>Atlas Mount 12mm</v>
      </c>
    </row>
    <row r="397" spans="207:210" x14ac:dyDescent="0.3">
      <c r="GY397" s="12" t="s">
        <v>136</v>
      </c>
      <c r="GZ397" s="14" t="s">
        <v>16</v>
      </c>
      <c r="HA397" s="12" t="s">
        <v>413</v>
      </c>
      <c r="HB397" s="131" t="str">
        <f t="shared" si="63"/>
        <v>No Mounting Bracket</v>
      </c>
    </row>
    <row r="398" spans="207:210" x14ac:dyDescent="0.3">
      <c r="GY398" s="12" t="s">
        <v>136</v>
      </c>
      <c r="GZ398" s="14" t="s">
        <v>16</v>
      </c>
      <c r="HA398" s="12" t="s">
        <v>419</v>
      </c>
      <c r="HB398" s="131" t="str">
        <f t="shared" si="63"/>
        <v>Ludwig Classic 9.5mm</v>
      </c>
    </row>
    <row r="399" spans="207:210" x14ac:dyDescent="0.3">
      <c r="GY399" s="12" t="s">
        <v>136</v>
      </c>
      <c r="GZ399" s="14" t="s">
        <v>16</v>
      </c>
      <c r="HA399" s="12" t="s">
        <v>417</v>
      </c>
      <c r="HB399" s="131" t="str">
        <f t="shared" si="63"/>
        <v>Vibraband w/Ludwig 9.5mm</v>
      </c>
    </row>
    <row r="400" spans="207:210" x14ac:dyDescent="0.3">
      <c r="GY400" s="12" t="s">
        <v>136</v>
      </c>
      <c r="GZ400" s="14" t="s">
        <v>16</v>
      </c>
      <c r="HA400" s="12" t="s">
        <v>424</v>
      </c>
      <c r="HB400" s="131" t="str">
        <f t="shared" si="63"/>
        <v>Triad Bracket 12mm</v>
      </c>
    </row>
    <row r="401" spans="207:210" x14ac:dyDescent="0.3">
      <c r="GY401" s="12" t="s">
        <v>136</v>
      </c>
      <c r="GZ401" s="14" t="s">
        <v>16</v>
      </c>
      <c r="HA401" s="12" t="s">
        <v>418</v>
      </c>
      <c r="HB401" s="131" t="str">
        <f t="shared" si="63"/>
        <v>Vibraband w/Triad 12mm</v>
      </c>
    </row>
    <row r="402" spans="207:210" x14ac:dyDescent="0.3">
      <c r="GY402" s="12" t="s">
        <v>136</v>
      </c>
      <c r="GZ402" s="14" t="s">
        <v>22</v>
      </c>
      <c r="HA402" s="12" t="s">
        <v>413</v>
      </c>
      <c r="HB402" s="131" t="str">
        <f t="shared" si="63"/>
        <v>No Mounting Bracket</v>
      </c>
    </row>
    <row r="403" spans="207:210" x14ac:dyDescent="0.3">
      <c r="GY403" s="12" t="s">
        <v>136</v>
      </c>
      <c r="GZ403" s="14" t="s">
        <v>22</v>
      </c>
      <c r="HA403" s="12" t="s">
        <v>419</v>
      </c>
      <c r="HB403" s="131" t="str">
        <f t="shared" si="63"/>
        <v>Ludwig Classic 9.5mm</v>
      </c>
    </row>
    <row r="404" spans="207:210" x14ac:dyDescent="0.3">
      <c r="GY404" s="12" t="s">
        <v>136</v>
      </c>
      <c r="GZ404" s="14" t="s">
        <v>22</v>
      </c>
      <c r="HA404" s="12" t="s">
        <v>417</v>
      </c>
      <c r="HB404" s="131" t="str">
        <f t="shared" si="63"/>
        <v>Vibraband w/Ludwig 9.5mm</v>
      </c>
    </row>
    <row r="405" spans="207:210" x14ac:dyDescent="0.3">
      <c r="GY405" s="12" t="s">
        <v>136</v>
      </c>
      <c r="GZ405" s="14" t="s">
        <v>22</v>
      </c>
      <c r="HA405" s="12" t="s">
        <v>424</v>
      </c>
      <c r="HB405" s="131" t="str">
        <f t="shared" si="63"/>
        <v>Triad Bracket 12mm</v>
      </c>
    </row>
    <row r="406" spans="207:210" x14ac:dyDescent="0.3">
      <c r="GY406" s="12" t="s">
        <v>136</v>
      </c>
      <c r="GZ406" s="14" t="s">
        <v>22</v>
      </c>
      <c r="HA406" s="12" t="s">
        <v>418</v>
      </c>
      <c r="HB406" s="131" t="str">
        <f t="shared" si="63"/>
        <v>Vibraband w/Triad 12mm</v>
      </c>
    </row>
    <row r="407" spans="207:210" x14ac:dyDescent="0.3">
      <c r="GY407" s="12" t="s">
        <v>136</v>
      </c>
      <c r="GZ407" s="14" t="s">
        <v>22</v>
      </c>
      <c r="HA407" s="12" t="s">
        <v>425</v>
      </c>
      <c r="HB407" s="131" t="str">
        <f t="shared" si="63"/>
        <v>Atlas Mount 12mm</v>
      </c>
    </row>
    <row r="408" spans="207:210" x14ac:dyDescent="0.3">
      <c r="GY408" s="12" t="s">
        <v>140</v>
      </c>
      <c r="GZ408" s="14" t="s">
        <v>518</v>
      </c>
      <c r="HA408" s="12" t="s">
        <v>413</v>
      </c>
      <c r="HB408" s="131" t="str">
        <f t="shared" si="63"/>
        <v>No Mounting Bracket</v>
      </c>
    </row>
    <row r="409" spans="207:210" x14ac:dyDescent="0.3">
      <c r="GY409" s="12" t="s">
        <v>140</v>
      </c>
      <c r="GZ409" s="14" t="s">
        <v>518</v>
      </c>
      <c r="HA409" s="12" t="s">
        <v>419</v>
      </c>
      <c r="HB409" s="131" t="str">
        <f t="shared" si="63"/>
        <v>Ludwig Classic 9.5mm</v>
      </c>
    </row>
    <row r="410" spans="207:210" x14ac:dyDescent="0.3">
      <c r="GY410" s="12" t="s">
        <v>140</v>
      </c>
      <c r="GZ410" s="14" t="s">
        <v>518</v>
      </c>
      <c r="HA410" s="12" t="s">
        <v>417</v>
      </c>
      <c r="HB410" s="131" t="str">
        <f t="shared" si="63"/>
        <v>Vibraband w/Ludwig 9.5mm</v>
      </c>
    </row>
    <row r="411" spans="207:210" x14ac:dyDescent="0.3">
      <c r="GY411" s="12" t="s">
        <v>140</v>
      </c>
      <c r="GZ411" s="14" t="s">
        <v>518</v>
      </c>
      <c r="HA411" s="12" t="s">
        <v>424</v>
      </c>
      <c r="HB411" s="131" t="str">
        <f t="shared" si="63"/>
        <v>Triad Bracket 12mm</v>
      </c>
    </row>
    <row r="412" spans="207:210" x14ac:dyDescent="0.3">
      <c r="GY412" s="12" t="s">
        <v>140</v>
      </c>
      <c r="GZ412" s="14" t="s">
        <v>518</v>
      </c>
      <c r="HA412" s="12" t="s">
        <v>418</v>
      </c>
      <c r="HB412" s="131" t="str">
        <f t="shared" si="63"/>
        <v>Vibraband w/Triad 12mm</v>
      </c>
    </row>
    <row r="413" spans="207:210" x14ac:dyDescent="0.3">
      <c r="GY413" s="12" t="s">
        <v>140</v>
      </c>
      <c r="GZ413" s="14" t="s">
        <v>518</v>
      </c>
      <c r="HA413" s="12" t="s">
        <v>425</v>
      </c>
      <c r="HB413" s="131" t="str">
        <f t="shared" si="63"/>
        <v>Atlas Mount 12mm</v>
      </c>
    </row>
    <row r="414" spans="207:210" x14ac:dyDescent="0.3">
      <c r="GY414" s="12" t="s">
        <v>140</v>
      </c>
      <c r="GZ414" s="14" t="s">
        <v>16</v>
      </c>
      <c r="HA414" s="12" t="s">
        <v>413</v>
      </c>
      <c r="HB414" s="131" t="str">
        <f t="shared" si="63"/>
        <v>No Mounting Bracket</v>
      </c>
    </row>
    <row r="415" spans="207:210" x14ac:dyDescent="0.3">
      <c r="GY415" s="12" t="s">
        <v>140</v>
      </c>
      <c r="GZ415" s="14" t="s">
        <v>16</v>
      </c>
      <c r="HA415" s="12" t="s">
        <v>419</v>
      </c>
      <c r="HB415" s="131" t="str">
        <f t="shared" si="63"/>
        <v>Ludwig Classic 9.5mm</v>
      </c>
    </row>
    <row r="416" spans="207:210" x14ac:dyDescent="0.3">
      <c r="GY416" s="12" t="s">
        <v>140</v>
      </c>
      <c r="GZ416" s="14" t="s">
        <v>16</v>
      </c>
      <c r="HA416" s="12" t="s">
        <v>417</v>
      </c>
      <c r="HB416" s="131" t="str">
        <f t="shared" si="63"/>
        <v>Vibraband w/Ludwig 9.5mm</v>
      </c>
    </row>
    <row r="417" spans="207:210" x14ac:dyDescent="0.3">
      <c r="GY417" s="12" t="s">
        <v>140</v>
      </c>
      <c r="GZ417" s="14" t="s">
        <v>16</v>
      </c>
      <c r="HA417" s="12" t="s">
        <v>424</v>
      </c>
      <c r="HB417" s="131" t="str">
        <f t="shared" si="63"/>
        <v>Triad Bracket 12mm</v>
      </c>
    </row>
    <row r="418" spans="207:210" x14ac:dyDescent="0.3">
      <c r="GY418" s="12" t="s">
        <v>140</v>
      </c>
      <c r="GZ418" s="14" t="s">
        <v>16</v>
      </c>
      <c r="HA418" s="12" t="s">
        <v>418</v>
      </c>
      <c r="HB418" s="131" t="str">
        <f t="shared" si="63"/>
        <v>Vibraband w/Triad 12mm</v>
      </c>
    </row>
    <row r="419" spans="207:210" x14ac:dyDescent="0.3">
      <c r="GY419" s="12" t="s">
        <v>140</v>
      </c>
      <c r="GZ419" s="14" t="s">
        <v>22</v>
      </c>
      <c r="HA419" s="12" t="s">
        <v>413</v>
      </c>
      <c r="HB419" s="131" t="str">
        <f t="shared" si="63"/>
        <v>No Mounting Bracket</v>
      </c>
    </row>
    <row r="420" spans="207:210" x14ac:dyDescent="0.3">
      <c r="GY420" s="12" t="s">
        <v>140</v>
      </c>
      <c r="GZ420" s="14" t="s">
        <v>22</v>
      </c>
      <c r="HA420" s="12" t="s">
        <v>419</v>
      </c>
      <c r="HB420" s="131" t="str">
        <f t="shared" si="63"/>
        <v>Ludwig Classic 9.5mm</v>
      </c>
    </row>
    <row r="421" spans="207:210" x14ac:dyDescent="0.3">
      <c r="GY421" s="12" t="s">
        <v>140</v>
      </c>
      <c r="GZ421" s="14" t="s">
        <v>22</v>
      </c>
      <c r="HA421" s="12" t="s">
        <v>417</v>
      </c>
      <c r="HB421" s="131" t="str">
        <f t="shared" si="63"/>
        <v>Vibraband w/Ludwig 9.5mm</v>
      </c>
    </row>
    <row r="422" spans="207:210" x14ac:dyDescent="0.3">
      <c r="GY422" s="12" t="s">
        <v>140</v>
      </c>
      <c r="GZ422" s="14" t="s">
        <v>22</v>
      </c>
      <c r="HA422" s="12" t="s">
        <v>424</v>
      </c>
      <c r="HB422" s="131" t="str">
        <f t="shared" si="63"/>
        <v>Triad Bracket 12mm</v>
      </c>
    </row>
    <row r="423" spans="207:210" x14ac:dyDescent="0.3">
      <c r="GY423" s="12" t="s">
        <v>140</v>
      </c>
      <c r="GZ423" s="14" t="s">
        <v>22</v>
      </c>
      <c r="HA423" s="12" t="s">
        <v>418</v>
      </c>
      <c r="HB423" s="131" t="str">
        <f t="shared" si="63"/>
        <v>Vibraband w/Triad 12mm</v>
      </c>
    </row>
    <row r="424" spans="207:210" x14ac:dyDescent="0.3">
      <c r="GY424" s="12" t="s">
        <v>140</v>
      </c>
      <c r="GZ424" s="14" t="s">
        <v>22</v>
      </c>
      <c r="HA424" s="12" t="s">
        <v>425</v>
      </c>
      <c r="HB424" s="131" t="str">
        <f t="shared" si="63"/>
        <v>Atlas Mount 12mm</v>
      </c>
    </row>
    <row r="425" spans="207:210" x14ac:dyDescent="0.3">
      <c r="GY425" s="12" t="s">
        <v>143</v>
      </c>
      <c r="GZ425" s="14" t="s">
        <v>518</v>
      </c>
      <c r="HA425" s="12" t="s">
        <v>413</v>
      </c>
      <c r="HB425" s="131" t="str">
        <f t="shared" si="63"/>
        <v>No Mounting Bracket</v>
      </c>
    </row>
    <row r="426" spans="207:210" x14ac:dyDescent="0.3">
      <c r="GY426" s="12" t="s">
        <v>143</v>
      </c>
      <c r="GZ426" s="14" t="s">
        <v>518</v>
      </c>
      <c r="HA426" s="12" t="s">
        <v>419</v>
      </c>
      <c r="HB426" s="131" t="str">
        <f t="shared" si="63"/>
        <v>Ludwig Classic 9.5mm</v>
      </c>
    </row>
    <row r="427" spans="207:210" x14ac:dyDescent="0.3">
      <c r="GY427" s="12" t="s">
        <v>143</v>
      </c>
      <c r="GZ427" s="14" t="s">
        <v>518</v>
      </c>
      <c r="HA427" s="12" t="s">
        <v>417</v>
      </c>
      <c r="HB427" s="131" t="str">
        <f t="shared" si="63"/>
        <v>Vibraband w/Ludwig 9.5mm</v>
      </c>
    </row>
    <row r="428" spans="207:210" x14ac:dyDescent="0.3">
      <c r="GY428" s="12" t="s">
        <v>143</v>
      </c>
      <c r="GZ428" s="14" t="s">
        <v>518</v>
      </c>
      <c r="HA428" s="12" t="s">
        <v>424</v>
      </c>
      <c r="HB428" s="131" t="str">
        <f t="shared" si="63"/>
        <v>Triad Bracket 12mm</v>
      </c>
    </row>
    <row r="429" spans="207:210" x14ac:dyDescent="0.3">
      <c r="GY429" s="12" t="s">
        <v>143</v>
      </c>
      <c r="GZ429" s="14" t="s">
        <v>518</v>
      </c>
      <c r="HA429" s="12" t="s">
        <v>418</v>
      </c>
      <c r="HB429" s="131" t="str">
        <f t="shared" si="63"/>
        <v>Vibraband w/Triad 12mm</v>
      </c>
    </row>
    <row r="430" spans="207:210" x14ac:dyDescent="0.3">
      <c r="GY430" s="12" t="s">
        <v>143</v>
      </c>
      <c r="GZ430" s="14" t="s">
        <v>518</v>
      </c>
      <c r="HA430" s="12" t="s">
        <v>425</v>
      </c>
      <c r="HB430" s="131" t="str">
        <f t="shared" si="63"/>
        <v>Atlas Mount 12mm</v>
      </c>
    </row>
    <row r="431" spans="207:210" x14ac:dyDescent="0.3">
      <c r="GY431" s="12" t="s">
        <v>143</v>
      </c>
      <c r="GZ431" s="14" t="s">
        <v>16</v>
      </c>
      <c r="HA431" s="12" t="s">
        <v>413</v>
      </c>
      <c r="HB431" s="131" t="str">
        <f t="shared" si="63"/>
        <v>No Mounting Bracket</v>
      </c>
    </row>
    <row r="432" spans="207:210" x14ac:dyDescent="0.3">
      <c r="GY432" s="12" t="s">
        <v>143</v>
      </c>
      <c r="GZ432" s="14" t="s">
        <v>16</v>
      </c>
      <c r="HA432" s="12" t="s">
        <v>419</v>
      </c>
      <c r="HB432" s="131" t="str">
        <f t="shared" si="63"/>
        <v>Ludwig Classic 9.5mm</v>
      </c>
    </row>
    <row r="433" spans="207:210" x14ac:dyDescent="0.3">
      <c r="GY433" s="12" t="s">
        <v>143</v>
      </c>
      <c r="GZ433" s="14" t="s">
        <v>16</v>
      </c>
      <c r="HA433" s="12" t="s">
        <v>417</v>
      </c>
      <c r="HB433" s="131" t="str">
        <f t="shared" si="63"/>
        <v>Vibraband w/Ludwig 9.5mm</v>
      </c>
    </row>
    <row r="434" spans="207:210" x14ac:dyDescent="0.3">
      <c r="GY434" s="12" t="s">
        <v>143</v>
      </c>
      <c r="GZ434" s="14" t="s">
        <v>16</v>
      </c>
      <c r="HA434" s="12" t="s">
        <v>424</v>
      </c>
      <c r="HB434" s="131" t="str">
        <f t="shared" si="63"/>
        <v>Triad Bracket 12mm</v>
      </c>
    </row>
    <row r="435" spans="207:210" x14ac:dyDescent="0.3">
      <c r="GY435" s="12" t="s">
        <v>143</v>
      </c>
      <c r="GZ435" s="14" t="s">
        <v>16</v>
      </c>
      <c r="HA435" s="12" t="s">
        <v>418</v>
      </c>
      <c r="HB435" s="131" t="str">
        <f t="shared" si="63"/>
        <v>Vibraband w/Triad 12mm</v>
      </c>
    </row>
    <row r="436" spans="207:210" x14ac:dyDescent="0.3">
      <c r="GY436" s="12" t="s">
        <v>143</v>
      </c>
      <c r="GZ436" s="14" t="s">
        <v>22</v>
      </c>
      <c r="HA436" s="12" t="s">
        <v>413</v>
      </c>
      <c r="HB436" s="131" t="str">
        <f t="shared" si="63"/>
        <v>No Mounting Bracket</v>
      </c>
    </row>
    <row r="437" spans="207:210" x14ac:dyDescent="0.3">
      <c r="GY437" s="12" t="s">
        <v>143</v>
      </c>
      <c r="GZ437" s="14" t="s">
        <v>22</v>
      </c>
      <c r="HA437" s="12" t="s">
        <v>419</v>
      </c>
      <c r="HB437" s="131" t="str">
        <f t="shared" si="63"/>
        <v>Ludwig Classic 9.5mm</v>
      </c>
    </row>
    <row r="438" spans="207:210" x14ac:dyDescent="0.3">
      <c r="GY438" s="12" t="s">
        <v>143</v>
      </c>
      <c r="GZ438" s="14" t="s">
        <v>22</v>
      </c>
      <c r="HA438" s="12" t="s">
        <v>417</v>
      </c>
      <c r="HB438" s="131" t="str">
        <f t="shared" si="63"/>
        <v>Vibraband w/Ludwig 9.5mm</v>
      </c>
    </row>
    <row r="439" spans="207:210" x14ac:dyDescent="0.3">
      <c r="GY439" s="12" t="s">
        <v>143</v>
      </c>
      <c r="GZ439" s="14" t="s">
        <v>22</v>
      </c>
      <c r="HA439" s="12" t="s">
        <v>424</v>
      </c>
      <c r="HB439" s="131" t="str">
        <f t="shared" si="63"/>
        <v>Triad Bracket 12mm</v>
      </c>
    </row>
    <row r="440" spans="207:210" x14ac:dyDescent="0.3">
      <c r="GY440" s="12" t="s">
        <v>143</v>
      </c>
      <c r="GZ440" s="14" t="s">
        <v>22</v>
      </c>
      <c r="HA440" s="12" t="s">
        <v>418</v>
      </c>
      <c r="HB440" s="131" t="str">
        <f t="shared" si="63"/>
        <v>Vibraband w/Triad 12mm</v>
      </c>
    </row>
    <row r="441" spans="207:210" x14ac:dyDescent="0.3">
      <c r="GY441" s="12" t="s">
        <v>143</v>
      </c>
      <c r="GZ441" s="14" t="s">
        <v>22</v>
      </c>
      <c r="HA441" s="12" t="s">
        <v>425</v>
      </c>
      <c r="HB441" s="131" t="str">
        <f t="shared" si="63"/>
        <v>Atlas Mount 12mm</v>
      </c>
    </row>
    <row r="442" spans="207:210" x14ac:dyDescent="0.3">
      <c r="GY442" s="12" t="s">
        <v>147</v>
      </c>
      <c r="GZ442" s="14" t="s">
        <v>518</v>
      </c>
      <c r="HA442" s="12" t="s">
        <v>413</v>
      </c>
      <c r="HB442" s="131" t="str">
        <f t="shared" si="63"/>
        <v>No Mounting Bracket</v>
      </c>
    </row>
    <row r="443" spans="207:210" x14ac:dyDescent="0.3">
      <c r="GY443" s="12" t="s">
        <v>147</v>
      </c>
      <c r="GZ443" s="14" t="s">
        <v>518</v>
      </c>
      <c r="HA443" s="12" t="s">
        <v>419</v>
      </c>
      <c r="HB443" s="131" t="str">
        <f t="shared" si="63"/>
        <v>Ludwig Classic 9.5mm</v>
      </c>
    </row>
    <row r="444" spans="207:210" x14ac:dyDescent="0.3">
      <c r="GY444" s="12" t="s">
        <v>147</v>
      </c>
      <c r="GZ444" s="14" t="s">
        <v>518</v>
      </c>
      <c r="HA444" s="12" t="s">
        <v>417</v>
      </c>
      <c r="HB444" s="131" t="str">
        <f t="shared" si="63"/>
        <v>Vibraband w/Ludwig 9.5mm</v>
      </c>
    </row>
    <row r="445" spans="207:210" x14ac:dyDescent="0.3">
      <c r="GY445" s="12" t="s">
        <v>147</v>
      </c>
      <c r="GZ445" s="14" t="s">
        <v>518</v>
      </c>
      <c r="HA445" s="12" t="s">
        <v>424</v>
      </c>
      <c r="HB445" s="131" t="str">
        <f t="shared" si="63"/>
        <v>Triad Bracket 12mm</v>
      </c>
    </row>
    <row r="446" spans="207:210" x14ac:dyDescent="0.3">
      <c r="GY446" s="12" t="s">
        <v>147</v>
      </c>
      <c r="GZ446" s="14" t="s">
        <v>518</v>
      </c>
      <c r="HA446" s="12" t="s">
        <v>418</v>
      </c>
      <c r="HB446" s="131" t="str">
        <f t="shared" si="63"/>
        <v>Vibraband w/Triad 12mm</v>
      </c>
    </row>
    <row r="447" spans="207:210" x14ac:dyDescent="0.3">
      <c r="GY447" s="12" t="s">
        <v>147</v>
      </c>
      <c r="GZ447" s="14" t="s">
        <v>518</v>
      </c>
      <c r="HA447" s="12" t="s">
        <v>425</v>
      </c>
      <c r="HB447" s="131" t="str">
        <f t="shared" si="63"/>
        <v>Atlas Mount 12mm</v>
      </c>
    </row>
    <row r="448" spans="207:210" x14ac:dyDescent="0.3">
      <c r="GY448" s="12" t="s">
        <v>147</v>
      </c>
      <c r="GZ448" s="14" t="s">
        <v>16</v>
      </c>
      <c r="HA448" s="12" t="s">
        <v>413</v>
      </c>
      <c r="HB448" s="131" t="str">
        <f t="shared" si="63"/>
        <v>No Mounting Bracket</v>
      </c>
    </row>
    <row r="449" spans="207:210" x14ac:dyDescent="0.3">
      <c r="GY449" s="12" t="s">
        <v>147</v>
      </c>
      <c r="GZ449" s="14" t="s">
        <v>16</v>
      </c>
      <c r="HA449" s="12" t="s">
        <v>419</v>
      </c>
      <c r="HB449" s="131" t="str">
        <f t="shared" si="63"/>
        <v>Ludwig Classic 9.5mm</v>
      </c>
    </row>
    <row r="450" spans="207:210" x14ac:dyDescent="0.3">
      <c r="GY450" s="12" t="s">
        <v>147</v>
      </c>
      <c r="GZ450" s="14" t="s">
        <v>16</v>
      </c>
      <c r="HA450" s="12" t="s">
        <v>417</v>
      </c>
      <c r="HB450" s="131" t="str">
        <f t="shared" si="63"/>
        <v>Vibraband w/Ludwig 9.5mm</v>
      </c>
    </row>
    <row r="451" spans="207:210" x14ac:dyDescent="0.3">
      <c r="GY451" s="12" t="s">
        <v>147</v>
      </c>
      <c r="GZ451" s="14" t="s">
        <v>16</v>
      </c>
      <c r="HA451" s="12" t="s">
        <v>424</v>
      </c>
      <c r="HB451" s="131" t="str">
        <f t="shared" si="63"/>
        <v>Triad Bracket 12mm</v>
      </c>
    </row>
    <row r="452" spans="207:210" x14ac:dyDescent="0.3">
      <c r="GY452" s="12" t="s">
        <v>147</v>
      </c>
      <c r="GZ452" s="14" t="s">
        <v>16</v>
      </c>
      <c r="HA452" s="12" t="s">
        <v>418</v>
      </c>
      <c r="HB452" s="131" t="str">
        <f t="shared" si="63"/>
        <v>Vibraband w/Triad 12mm</v>
      </c>
    </row>
    <row r="453" spans="207:210" x14ac:dyDescent="0.3">
      <c r="GY453" s="12" t="s">
        <v>147</v>
      </c>
      <c r="GZ453" s="14" t="s">
        <v>22</v>
      </c>
      <c r="HA453" s="12" t="s">
        <v>413</v>
      </c>
      <c r="HB453" s="131" t="str">
        <f t="shared" si="63"/>
        <v>No Mounting Bracket</v>
      </c>
    </row>
    <row r="454" spans="207:210" x14ac:dyDescent="0.3">
      <c r="GY454" s="12" t="s">
        <v>147</v>
      </c>
      <c r="GZ454" s="14" t="s">
        <v>22</v>
      </c>
      <c r="HA454" s="12" t="s">
        <v>419</v>
      </c>
      <c r="HB454" s="131" t="str">
        <f t="shared" si="63"/>
        <v>Ludwig Classic 9.5mm</v>
      </c>
    </row>
    <row r="455" spans="207:210" x14ac:dyDescent="0.3">
      <c r="GY455" s="12" t="s">
        <v>147</v>
      </c>
      <c r="GZ455" s="14" t="s">
        <v>22</v>
      </c>
      <c r="HA455" s="12" t="s">
        <v>417</v>
      </c>
      <c r="HB455" s="131" t="str">
        <f t="shared" si="63"/>
        <v>Vibraband w/Ludwig 9.5mm</v>
      </c>
    </row>
    <row r="456" spans="207:210" x14ac:dyDescent="0.3">
      <c r="GY456" s="12" t="s">
        <v>147</v>
      </c>
      <c r="GZ456" s="14" t="s">
        <v>22</v>
      </c>
      <c r="HA456" s="12" t="s">
        <v>424</v>
      </c>
      <c r="HB456" s="131" t="str">
        <f t="shared" si="63"/>
        <v>Triad Bracket 12mm</v>
      </c>
    </row>
    <row r="457" spans="207:210" x14ac:dyDescent="0.3">
      <c r="GY457" s="12" t="s">
        <v>147</v>
      </c>
      <c r="GZ457" s="14" t="s">
        <v>22</v>
      </c>
      <c r="HA457" s="12" t="s">
        <v>418</v>
      </c>
      <c r="HB457" s="131" t="str">
        <f t="shared" si="63"/>
        <v>Vibraband w/Triad 12mm</v>
      </c>
    </row>
    <row r="458" spans="207:210" x14ac:dyDescent="0.3">
      <c r="GY458" s="12" t="s">
        <v>147</v>
      </c>
      <c r="GZ458" s="14" t="s">
        <v>22</v>
      </c>
      <c r="HA458" s="12" t="s">
        <v>425</v>
      </c>
      <c r="HB458" s="131" t="str">
        <f t="shared" ref="HB458:HB521" si="64">INDEX($GV$3:$GV$12,MATCH(HA458,$GU$3:$GU$12,0))</f>
        <v>Atlas Mount 12mm</v>
      </c>
    </row>
    <row r="459" spans="207:210" x14ac:dyDescent="0.3">
      <c r="GY459" s="12" t="s">
        <v>151</v>
      </c>
      <c r="GZ459" s="14" t="s">
        <v>518</v>
      </c>
      <c r="HA459" s="12" t="s">
        <v>413</v>
      </c>
      <c r="HB459" s="131" t="str">
        <f t="shared" si="64"/>
        <v>No Mounting Bracket</v>
      </c>
    </row>
    <row r="460" spans="207:210" x14ac:dyDescent="0.3">
      <c r="GY460" s="12" t="s">
        <v>151</v>
      </c>
      <c r="GZ460" s="14" t="s">
        <v>518</v>
      </c>
      <c r="HA460" s="12" t="s">
        <v>419</v>
      </c>
      <c r="HB460" s="131" t="str">
        <f t="shared" si="64"/>
        <v>Ludwig Classic 9.5mm</v>
      </c>
    </row>
    <row r="461" spans="207:210" x14ac:dyDescent="0.3">
      <c r="GY461" s="12" t="s">
        <v>151</v>
      </c>
      <c r="GZ461" s="14" t="s">
        <v>518</v>
      </c>
      <c r="HA461" s="12" t="s">
        <v>417</v>
      </c>
      <c r="HB461" s="131" t="str">
        <f t="shared" si="64"/>
        <v>Vibraband w/Ludwig 9.5mm</v>
      </c>
    </row>
    <row r="462" spans="207:210" x14ac:dyDescent="0.3">
      <c r="GY462" s="12" t="s">
        <v>151</v>
      </c>
      <c r="GZ462" s="14" t="s">
        <v>518</v>
      </c>
      <c r="HA462" s="12" t="s">
        <v>424</v>
      </c>
      <c r="HB462" s="131" t="str">
        <f t="shared" si="64"/>
        <v>Triad Bracket 12mm</v>
      </c>
    </row>
    <row r="463" spans="207:210" x14ac:dyDescent="0.3">
      <c r="GY463" s="12" t="s">
        <v>151</v>
      </c>
      <c r="GZ463" s="14" t="s">
        <v>518</v>
      </c>
      <c r="HA463" s="12" t="s">
        <v>418</v>
      </c>
      <c r="HB463" s="131" t="str">
        <f t="shared" si="64"/>
        <v>Vibraband w/Triad 12mm</v>
      </c>
    </row>
    <row r="464" spans="207:210" x14ac:dyDescent="0.3">
      <c r="GY464" s="12" t="s">
        <v>151</v>
      </c>
      <c r="GZ464" s="14" t="s">
        <v>518</v>
      </c>
      <c r="HA464" s="12" t="s">
        <v>425</v>
      </c>
      <c r="HB464" s="131" t="str">
        <f t="shared" si="64"/>
        <v>Atlas Mount 12mm</v>
      </c>
    </row>
    <row r="465" spans="207:210" x14ac:dyDescent="0.3">
      <c r="GY465" s="12" t="s">
        <v>151</v>
      </c>
      <c r="GZ465" s="14" t="s">
        <v>16</v>
      </c>
      <c r="HA465" s="12" t="s">
        <v>413</v>
      </c>
      <c r="HB465" s="131" t="str">
        <f t="shared" si="64"/>
        <v>No Mounting Bracket</v>
      </c>
    </row>
    <row r="466" spans="207:210" x14ac:dyDescent="0.3">
      <c r="GY466" s="12" t="s">
        <v>151</v>
      </c>
      <c r="GZ466" s="14" t="s">
        <v>16</v>
      </c>
      <c r="HA466" s="12" t="s">
        <v>419</v>
      </c>
      <c r="HB466" s="131" t="str">
        <f t="shared" si="64"/>
        <v>Ludwig Classic 9.5mm</v>
      </c>
    </row>
    <row r="467" spans="207:210" x14ac:dyDescent="0.3">
      <c r="GY467" s="12" t="s">
        <v>151</v>
      </c>
      <c r="GZ467" s="14" t="s">
        <v>16</v>
      </c>
      <c r="HA467" s="12" t="s">
        <v>417</v>
      </c>
      <c r="HB467" s="131" t="str">
        <f t="shared" si="64"/>
        <v>Vibraband w/Ludwig 9.5mm</v>
      </c>
    </row>
    <row r="468" spans="207:210" x14ac:dyDescent="0.3">
      <c r="GY468" s="12" t="s">
        <v>151</v>
      </c>
      <c r="GZ468" s="14" t="s">
        <v>16</v>
      </c>
      <c r="HA468" s="12" t="s">
        <v>424</v>
      </c>
      <c r="HB468" s="131" t="str">
        <f t="shared" si="64"/>
        <v>Triad Bracket 12mm</v>
      </c>
    </row>
    <row r="469" spans="207:210" x14ac:dyDescent="0.3">
      <c r="GY469" s="12" t="s">
        <v>151</v>
      </c>
      <c r="GZ469" s="14" t="s">
        <v>16</v>
      </c>
      <c r="HA469" s="12" t="s">
        <v>418</v>
      </c>
      <c r="HB469" s="131" t="str">
        <f t="shared" si="64"/>
        <v>Vibraband w/Triad 12mm</v>
      </c>
    </row>
    <row r="470" spans="207:210" x14ac:dyDescent="0.3">
      <c r="GY470" s="12" t="s">
        <v>151</v>
      </c>
      <c r="GZ470" s="14" t="s">
        <v>22</v>
      </c>
      <c r="HA470" s="12" t="s">
        <v>413</v>
      </c>
      <c r="HB470" s="131" t="str">
        <f t="shared" si="64"/>
        <v>No Mounting Bracket</v>
      </c>
    </row>
    <row r="471" spans="207:210" x14ac:dyDescent="0.3">
      <c r="GY471" s="12" t="s">
        <v>151</v>
      </c>
      <c r="GZ471" s="14" t="s">
        <v>22</v>
      </c>
      <c r="HA471" s="12" t="s">
        <v>419</v>
      </c>
      <c r="HB471" s="131" t="str">
        <f t="shared" si="64"/>
        <v>Ludwig Classic 9.5mm</v>
      </c>
    </row>
    <row r="472" spans="207:210" x14ac:dyDescent="0.3">
      <c r="GY472" s="12" t="s">
        <v>151</v>
      </c>
      <c r="GZ472" s="14" t="s">
        <v>22</v>
      </c>
      <c r="HA472" s="12" t="s">
        <v>417</v>
      </c>
      <c r="HB472" s="131" t="str">
        <f t="shared" si="64"/>
        <v>Vibraband w/Ludwig 9.5mm</v>
      </c>
    </row>
    <row r="473" spans="207:210" x14ac:dyDescent="0.3">
      <c r="GY473" s="12" t="s">
        <v>151</v>
      </c>
      <c r="GZ473" s="14" t="s">
        <v>22</v>
      </c>
      <c r="HA473" s="12" t="s">
        <v>424</v>
      </c>
      <c r="HB473" s="131" t="str">
        <f t="shared" si="64"/>
        <v>Triad Bracket 12mm</v>
      </c>
    </row>
    <row r="474" spans="207:210" x14ac:dyDescent="0.3">
      <c r="GY474" s="12" t="s">
        <v>151</v>
      </c>
      <c r="GZ474" s="14" t="s">
        <v>22</v>
      </c>
      <c r="HA474" s="12" t="s">
        <v>418</v>
      </c>
      <c r="HB474" s="131" t="str">
        <f t="shared" si="64"/>
        <v>Vibraband w/Triad 12mm</v>
      </c>
    </row>
    <row r="475" spans="207:210" x14ac:dyDescent="0.3">
      <c r="GY475" s="12" t="s">
        <v>151</v>
      </c>
      <c r="GZ475" s="14" t="s">
        <v>22</v>
      </c>
      <c r="HA475" s="12" t="s">
        <v>425</v>
      </c>
      <c r="HB475" s="131" t="str">
        <f t="shared" si="64"/>
        <v>Atlas Mount 12mm</v>
      </c>
    </row>
    <row r="476" spans="207:210" x14ac:dyDescent="0.3">
      <c r="GY476" s="12" t="s">
        <v>144</v>
      </c>
      <c r="GZ476" s="14" t="s">
        <v>25</v>
      </c>
      <c r="HA476" s="12" t="s">
        <v>413</v>
      </c>
      <c r="HB476" s="131" t="str">
        <f t="shared" si="64"/>
        <v>No Mounting Bracket</v>
      </c>
    </row>
    <row r="477" spans="207:210" x14ac:dyDescent="0.3">
      <c r="GY477" s="12" t="s">
        <v>144</v>
      </c>
      <c r="GZ477" s="14" t="s">
        <v>25</v>
      </c>
      <c r="HA477" s="12" t="s">
        <v>419</v>
      </c>
      <c r="HB477" s="131" t="str">
        <f t="shared" si="64"/>
        <v>Ludwig Classic 9.5mm</v>
      </c>
    </row>
    <row r="478" spans="207:210" x14ac:dyDescent="0.3">
      <c r="GY478" s="12" t="s">
        <v>144</v>
      </c>
      <c r="GZ478" s="14" t="s">
        <v>25</v>
      </c>
      <c r="HA478" s="12" t="s">
        <v>417</v>
      </c>
      <c r="HB478" s="131" t="str">
        <f t="shared" si="64"/>
        <v>Vibraband w/Ludwig 9.5mm</v>
      </c>
    </row>
    <row r="479" spans="207:210" x14ac:dyDescent="0.3">
      <c r="GY479" s="12" t="s">
        <v>144</v>
      </c>
      <c r="GZ479" s="14" t="s">
        <v>25</v>
      </c>
      <c r="HA479" s="12" t="s">
        <v>424</v>
      </c>
      <c r="HB479" s="131" t="str">
        <f t="shared" si="64"/>
        <v>Triad Bracket 12mm</v>
      </c>
    </row>
    <row r="480" spans="207:210" x14ac:dyDescent="0.3">
      <c r="GY480" s="12" t="s">
        <v>144</v>
      </c>
      <c r="GZ480" s="14" t="s">
        <v>25</v>
      </c>
      <c r="HA480" s="12" t="s">
        <v>418</v>
      </c>
      <c r="HB480" s="131" t="str">
        <f t="shared" si="64"/>
        <v>Vibraband w/Triad 12mm</v>
      </c>
    </row>
    <row r="481" spans="207:210" x14ac:dyDescent="0.3">
      <c r="GY481" s="12" t="s">
        <v>148</v>
      </c>
      <c r="GZ481" s="14" t="s">
        <v>25</v>
      </c>
      <c r="HA481" s="12" t="s">
        <v>413</v>
      </c>
      <c r="HB481" s="131" t="str">
        <f t="shared" si="64"/>
        <v>No Mounting Bracket</v>
      </c>
    </row>
    <row r="482" spans="207:210" x14ac:dyDescent="0.3">
      <c r="GY482" s="12" t="s">
        <v>148</v>
      </c>
      <c r="GZ482" s="14" t="s">
        <v>25</v>
      </c>
      <c r="HA482" s="12" t="s">
        <v>419</v>
      </c>
      <c r="HB482" s="131" t="str">
        <f t="shared" si="64"/>
        <v>Ludwig Classic 9.5mm</v>
      </c>
    </row>
    <row r="483" spans="207:210" x14ac:dyDescent="0.3">
      <c r="GY483" s="12" t="s">
        <v>148</v>
      </c>
      <c r="GZ483" s="14" t="s">
        <v>25</v>
      </c>
      <c r="HA483" s="12" t="s">
        <v>417</v>
      </c>
      <c r="HB483" s="131" t="str">
        <f t="shared" si="64"/>
        <v>Vibraband w/Ludwig 9.5mm</v>
      </c>
    </row>
    <row r="484" spans="207:210" x14ac:dyDescent="0.3">
      <c r="GY484" s="12" t="s">
        <v>148</v>
      </c>
      <c r="GZ484" s="14" t="s">
        <v>25</v>
      </c>
      <c r="HA484" s="12" t="s">
        <v>424</v>
      </c>
      <c r="HB484" s="131" t="str">
        <f t="shared" si="64"/>
        <v>Triad Bracket 12mm</v>
      </c>
    </row>
    <row r="485" spans="207:210" x14ac:dyDescent="0.3">
      <c r="GY485" s="12" t="s">
        <v>148</v>
      </c>
      <c r="GZ485" s="14" t="s">
        <v>25</v>
      </c>
      <c r="HA485" s="12" t="s">
        <v>418</v>
      </c>
      <c r="HB485" s="131" t="str">
        <f t="shared" si="64"/>
        <v>Vibraband w/Triad 12mm</v>
      </c>
    </row>
    <row r="486" spans="207:210" x14ac:dyDescent="0.3">
      <c r="GY486" s="12" t="s">
        <v>157</v>
      </c>
      <c r="GZ486" s="14" t="s">
        <v>25</v>
      </c>
      <c r="HA486" s="12" t="s">
        <v>413</v>
      </c>
      <c r="HB486" s="131" t="str">
        <f t="shared" si="64"/>
        <v>No Mounting Bracket</v>
      </c>
    </row>
    <row r="487" spans="207:210" x14ac:dyDescent="0.3">
      <c r="GY487" s="12" t="s">
        <v>157</v>
      </c>
      <c r="GZ487" s="14" t="s">
        <v>25</v>
      </c>
      <c r="HA487" s="12" t="s">
        <v>419</v>
      </c>
      <c r="HB487" s="131" t="str">
        <f t="shared" si="64"/>
        <v>Ludwig Classic 9.5mm</v>
      </c>
    </row>
    <row r="488" spans="207:210" x14ac:dyDescent="0.3">
      <c r="GY488" s="12" t="s">
        <v>157</v>
      </c>
      <c r="GZ488" s="14" t="s">
        <v>25</v>
      </c>
      <c r="HA488" s="12" t="s">
        <v>417</v>
      </c>
      <c r="HB488" s="131" t="str">
        <f t="shared" si="64"/>
        <v>Vibraband w/Ludwig 9.5mm</v>
      </c>
    </row>
    <row r="489" spans="207:210" x14ac:dyDescent="0.3">
      <c r="GY489" s="12" t="s">
        <v>157</v>
      </c>
      <c r="GZ489" s="14" t="s">
        <v>25</v>
      </c>
      <c r="HA489" s="12" t="s">
        <v>424</v>
      </c>
      <c r="HB489" s="131" t="str">
        <f t="shared" si="64"/>
        <v>Triad Bracket 12mm</v>
      </c>
    </row>
    <row r="490" spans="207:210" x14ac:dyDescent="0.3">
      <c r="GY490" s="12" t="s">
        <v>157</v>
      </c>
      <c r="GZ490" s="14" t="s">
        <v>25</v>
      </c>
      <c r="HA490" s="12" t="s">
        <v>418</v>
      </c>
      <c r="HB490" s="131" t="str">
        <f t="shared" si="64"/>
        <v>Vibraband w/Triad 12mm</v>
      </c>
    </row>
    <row r="491" spans="207:210" x14ac:dyDescent="0.3">
      <c r="GY491" s="12" t="s">
        <v>146</v>
      </c>
      <c r="GZ491" s="14" t="s">
        <v>25</v>
      </c>
      <c r="HA491" s="12" t="s">
        <v>413</v>
      </c>
      <c r="HB491" s="131" t="str">
        <f t="shared" si="64"/>
        <v>No Mounting Bracket</v>
      </c>
    </row>
    <row r="492" spans="207:210" x14ac:dyDescent="0.3">
      <c r="GY492" s="12" t="s">
        <v>146</v>
      </c>
      <c r="GZ492" s="14" t="s">
        <v>25</v>
      </c>
      <c r="HA492" s="12" t="s">
        <v>419</v>
      </c>
      <c r="HB492" s="131" t="str">
        <f t="shared" si="64"/>
        <v>Ludwig Classic 9.5mm</v>
      </c>
    </row>
    <row r="493" spans="207:210" x14ac:dyDescent="0.3">
      <c r="GY493" s="12" t="s">
        <v>146</v>
      </c>
      <c r="GZ493" s="14" t="s">
        <v>25</v>
      </c>
      <c r="HA493" s="12" t="s">
        <v>417</v>
      </c>
      <c r="HB493" s="131" t="str">
        <f t="shared" si="64"/>
        <v>Vibraband w/Ludwig 9.5mm</v>
      </c>
    </row>
    <row r="494" spans="207:210" x14ac:dyDescent="0.3">
      <c r="GY494" s="12" t="s">
        <v>146</v>
      </c>
      <c r="GZ494" s="14" t="s">
        <v>25</v>
      </c>
      <c r="HA494" s="12" t="s">
        <v>424</v>
      </c>
      <c r="HB494" s="131" t="str">
        <f t="shared" si="64"/>
        <v>Triad Bracket 12mm</v>
      </c>
    </row>
    <row r="495" spans="207:210" x14ac:dyDescent="0.3">
      <c r="GY495" s="12" t="s">
        <v>146</v>
      </c>
      <c r="GZ495" s="14" t="s">
        <v>25</v>
      </c>
      <c r="HA495" s="12" t="s">
        <v>418</v>
      </c>
      <c r="HB495" s="131" t="str">
        <f t="shared" si="64"/>
        <v>Vibraband w/Triad 12mm</v>
      </c>
    </row>
    <row r="496" spans="207:210" x14ac:dyDescent="0.3">
      <c r="GY496" s="12" t="s">
        <v>149</v>
      </c>
      <c r="GZ496" s="14" t="s">
        <v>25</v>
      </c>
      <c r="HA496" s="12" t="s">
        <v>413</v>
      </c>
      <c r="HB496" s="131" t="str">
        <f t="shared" si="64"/>
        <v>No Mounting Bracket</v>
      </c>
    </row>
    <row r="497" spans="207:210" x14ac:dyDescent="0.3">
      <c r="GY497" s="12" t="s">
        <v>149</v>
      </c>
      <c r="GZ497" s="14" t="s">
        <v>25</v>
      </c>
      <c r="HA497" s="12" t="s">
        <v>419</v>
      </c>
      <c r="HB497" s="131" t="str">
        <f t="shared" si="64"/>
        <v>Ludwig Classic 9.5mm</v>
      </c>
    </row>
    <row r="498" spans="207:210" x14ac:dyDescent="0.3">
      <c r="GY498" s="12" t="s">
        <v>149</v>
      </c>
      <c r="GZ498" s="14" t="s">
        <v>25</v>
      </c>
      <c r="HA498" s="12" t="s">
        <v>417</v>
      </c>
      <c r="HB498" s="131" t="str">
        <f t="shared" si="64"/>
        <v>Vibraband w/Ludwig 9.5mm</v>
      </c>
    </row>
    <row r="499" spans="207:210" x14ac:dyDescent="0.3">
      <c r="GY499" s="12" t="s">
        <v>149</v>
      </c>
      <c r="GZ499" s="14" t="s">
        <v>25</v>
      </c>
      <c r="HA499" s="12" t="s">
        <v>424</v>
      </c>
      <c r="HB499" s="131" t="str">
        <f t="shared" si="64"/>
        <v>Triad Bracket 12mm</v>
      </c>
    </row>
    <row r="500" spans="207:210" x14ac:dyDescent="0.3">
      <c r="GY500" s="12" t="s">
        <v>149</v>
      </c>
      <c r="GZ500" s="14" t="s">
        <v>25</v>
      </c>
      <c r="HA500" s="12" t="s">
        <v>418</v>
      </c>
      <c r="HB500" s="131" t="str">
        <f t="shared" si="64"/>
        <v>Vibraband w/Triad 12mm</v>
      </c>
    </row>
    <row r="501" spans="207:210" x14ac:dyDescent="0.3">
      <c r="GY501" s="12" t="s">
        <v>163</v>
      </c>
      <c r="GZ501" s="14" t="s">
        <v>25</v>
      </c>
      <c r="HA501" s="12" t="s">
        <v>413</v>
      </c>
      <c r="HB501" s="131" t="str">
        <f t="shared" si="64"/>
        <v>No Mounting Bracket</v>
      </c>
    </row>
    <row r="502" spans="207:210" x14ac:dyDescent="0.3">
      <c r="GY502" s="12" t="s">
        <v>163</v>
      </c>
      <c r="GZ502" s="14" t="s">
        <v>25</v>
      </c>
      <c r="HA502" s="12" t="s">
        <v>419</v>
      </c>
      <c r="HB502" s="131" t="str">
        <f t="shared" si="64"/>
        <v>Ludwig Classic 9.5mm</v>
      </c>
    </row>
    <row r="503" spans="207:210" x14ac:dyDescent="0.3">
      <c r="GY503" s="12" t="s">
        <v>163</v>
      </c>
      <c r="GZ503" s="14" t="s">
        <v>25</v>
      </c>
      <c r="HA503" s="12" t="s">
        <v>417</v>
      </c>
      <c r="HB503" s="131" t="str">
        <f t="shared" si="64"/>
        <v>Vibraband w/Ludwig 9.5mm</v>
      </c>
    </row>
    <row r="504" spans="207:210" x14ac:dyDescent="0.3">
      <c r="GY504" s="12" t="s">
        <v>163</v>
      </c>
      <c r="GZ504" s="14" t="s">
        <v>25</v>
      </c>
      <c r="HA504" s="12" t="s">
        <v>424</v>
      </c>
      <c r="HB504" s="131" t="str">
        <f t="shared" si="64"/>
        <v>Triad Bracket 12mm</v>
      </c>
    </row>
    <row r="505" spans="207:210" x14ac:dyDescent="0.3">
      <c r="GY505" s="12" t="s">
        <v>163</v>
      </c>
      <c r="GZ505" s="14" t="s">
        <v>25</v>
      </c>
      <c r="HA505" s="12" t="s">
        <v>418</v>
      </c>
      <c r="HB505" s="131" t="str">
        <f t="shared" si="64"/>
        <v>Vibraband w/Triad 12mm</v>
      </c>
    </row>
    <row r="506" spans="207:210" x14ac:dyDescent="0.3">
      <c r="GY506" s="12" t="s">
        <v>150</v>
      </c>
      <c r="GZ506" s="14" t="s">
        <v>25</v>
      </c>
      <c r="HA506" s="12" t="s">
        <v>413</v>
      </c>
      <c r="HB506" s="131" t="str">
        <f t="shared" si="64"/>
        <v>No Mounting Bracket</v>
      </c>
    </row>
    <row r="507" spans="207:210" x14ac:dyDescent="0.3">
      <c r="GY507" s="12" t="s">
        <v>150</v>
      </c>
      <c r="GZ507" s="14" t="s">
        <v>25</v>
      </c>
      <c r="HA507" s="12" t="s">
        <v>419</v>
      </c>
      <c r="HB507" s="131" t="str">
        <f t="shared" si="64"/>
        <v>Ludwig Classic 9.5mm</v>
      </c>
    </row>
    <row r="508" spans="207:210" x14ac:dyDescent="0.3">
      <c r="GY508" s="12" t="s">
        <v>150</v>
      </c>
      <c r="GZ508" s="14" t="s">
        <v>25</v>
      </c>
      <c r="HA508" s="12" t="s">
        <v>417</v>
      </c>
      <c r="HB508" s="131" t="str">
        <f t="shared" si="64"/>
        <v>Vibraband w/Ludwig 9.5mm</v>
      </c>
    </row>
    <row r="509" spans="207:210" x14ac:dyDescent="0.3">
      <c r="GY509" s="12" t="s">
        <v>150</v>
      </c>
      <c r="GZ509" s="14" t="s">
        <v>25</v>
      </c>
      <c r="HA509" s="12" t="s">
        <v>424</v>
      </c>
      <c r="HB509" s="131" t="str">
        <f t="shared" si="64"/>
        <v>Triad Bracket 12mm</v>
      </c>
    </row>
    <row r="510" spans="207:210" x14ac:dyDescent="0.3">
      <c r="GY510" s="12" t="s">
        <v>150</v>
      </c>
      <c r="GZ510" s="14" t="s">
        <v>25</v>
      </c>
      <c r="HA510" s="12" t="s">
        <v>418</v>
      </c>
      <c r="HB510" s="131" t="str">
        <f t="shared" si="64"/>
        <v>Vibraband w/Triad 12mm</v>
      </c>
    </row>
    <row r="511" spans="207:210" x14ac:dyDescent="0.3">
      <c r="GY511" s="12" t="s">
        <v>169</v>
      </c>
      <c r="GZ511" s="14" t="s">
        <v>25</v>
      </c>
      <c r="HA511" s="12" t="s">
        <v>413</v>
      </c>
      <c r="HB511" s="131" t="str">
        <f t="shared" si="64"/>
        <v>No Mounting Bracket</v>
      </c>
    </row>
    <row r="512" spans="207:210" x14ac:dyDescent="0.3">
      <c r="GY512" s="12" t="s">
        <v>169</v>
      </c>
      <c r="GZ512" s="14" t="s">
        <v>25</v>
      </c>
      <c r="HA512" s="12" t="s">
        <v>419</v>
      </c>
      <c r="HB512" s="131" t="str">
        <f t="shared" si="64"/>
        <v>Ludwig Classic 9.5mm</v>
      </c>
    </row>
    <row r="513" spans="207:210" x14ac:dyDescent="0.3">
      <c r="GY513" s="12" t="s">
        <v>169</v>
      </c>
      <c r="GZ513" s="14" t="s">
        <v>25</v>
      </c>
      <c r="HA513" s="12" t="s">
        <v>417</v>
      </c>
      <c r="HB513" s="131" t="str">
        <f t="shared" si="64"/>
        <v>Vibraband w/Ludwig 9.5mm</v>
      </c>
    </row>
    <row r="514" spans="207:210" x14ac:dyDescent="0.3">
      <c r="GY514" s="12" t="s">
        <v>169</v>
      </c>
      <c r="GZ514" s="14" t="s">
        <v>25</v>
      </c>
      <c r="HA514" s="12" t="s">
        <v>424</v>
      </c>
      <c r="HB514" s="131" t="str">
        <f t="shared" si="64"/>
        <v>Triad Bracket 12mm</v>
      </c>
    </row>
    <row r="515" spans="207:210" x14ac:dyDescent="0.3">
      <c r="GY515" s="12" t="s">
        <v>169</v>
      </c>
      <c r="GZ515" s="14" t="s">
        <v>25</v>
      </c>
      <c r="HA515" s="12" t="s">
        <v>418</v>
      </c>
      <c r="HB515" s="131" t="str">
        <f t="shared" si="64"/>
        <v>Vibraband w/Triad 12mm</v>
      </c>
    </row>
    <row r="516" spans="207:210" x14ac:dyDescent="0.3">
      <c r="GY516" s="12" t="s">
        <v>178</v>
      </c>
      <c r="GZ516" s="14" t="s">
        <v>25</v>
      </c>
      <c r="HA516" s="12" t="s">
        <v>413</v>
      </c>
      <c r="HB516" s="131" t="str">
        <f t="shared" si="64"/>
        <v>No Mounting Bracket</v>
      </c>
    </row>
    <row r="517" spans="207:210" x14ac:dyDescent="0.3">
      <c r="GY517" s="12" t="s">
        <v>178</v>
      </c>
      <c r="GZ517" s="14" t="s">
        <v>25</v>
      </c>
      <c r="HA517" s="12" t="s">
        <v>419</v>
      </c>
      <c r="HB517" s="131" t="str">
        <f t="shared" si="64"/>
        <v>Ludwig Classic 9.5mm</v>
      </c>
    </row>
    <row r="518" spans="207:210" x14ac:dyDescent="0.3">
      <c r="GY518" s="12" t="s">
        <v>178</v>
      </c>
      <c r="GZ518" s="14" t="s">
        <v>25</v>
      </c>
      <c r="HA518" s="12" t="s">
        <v>424</v>
      </c>
      <c r="HB518" s="131" t="str">
        <f t="shared" si="64"/>
        <v>Triad Bracket 12mm</v>
      </c>
    </row>
    <row r="519" spans="207:210" x14ac:dyDescent="0.3">
      <c r="GY519" s="12" t="s">
        <v>175</v>
      </c>
      <c r="GZ519" s="14" t="s">
        <v>25</v>
      </c>
      <c r="HA519" s="12" t="s">
        <v>413</v>
      </c>
      <c r="HB519" s="131" t="str">
        <f t="shared" si="64"/>
        <v>No Mounting Bracket</v>
      </c>
    </row>
    <row r="520" spans="207:210" x14ac:dyDescent="0.3">
      <c r="GY520" s="12" t="s">
        <v>175</v>
      </c>
      <c r="GZ520" s="14" t="s">
        <v>25</v>
      </c>
      <c r="HA520" s="12" t="s">
        <v>419</v>
      </c>
      <c r="HB520" s="131" t="str">
        <f t="shared" si="64"/>
        <v>Ludwig Classic 9.5mm</v>
      </c>
    </row>
    <row r="521" spans="207:210" x14ac:dyDescent="0.3">
      <c r="GY521" s="12" t="s">
        <v>175</v>
      </c>
      <c r="GZ521" s="14" t="s">
        <v>25</v>
      </c>
      <c r="HA521" s="12" t="s">
        <v>417</v>
      </c>
      <c r="HB521" s="131" t="str">
        <f t="shared" si="64"/>
        <v>Vibraband w/Ludwig 9.5mm</v>
      </c>
    </row>
    <row r="522" spans="207:210" x14ac:dyDescent="0.3">
      <c r="GY522" s="12" t="s">
        <v>175</v>
      </c>
      <c r="GZ522" s="14" t="s">
        <v>25</v>
      </c>
      <c r="HA522" s="12" t="s">
        <v>424</v>
      </c>
      <c r="HB522" s="131" t="str">
        <f t="shared" ref="HB522:HB585" si="65">INDEX($GV$3:$GV$12,MATCH(HA522,$GU$3:$GU$12,0))</f>
        <v>Triad Bracket 12mm</v>
      </c>
    </row>
    <row r="523" spans="207:210" x14ac:dyDescent="0.3">
      <c r="GY523" s="12" t="s">
        <v>175</v>
      </c>
      <c r="GZ523" s="14" t="s">
        <v>25</v>
      </c>
      <c r="HA523" s="12" t="s">
        <v>418</v>
      </c>
      <c r="HB523" s="131" t="str">
        <f t="shared" si="65"/>
        <v>Vibraband w/Triad 12mm</v>
      </c>
    </row>
    <row r="524" spans="207:210" x14ac:dyDescent="0.3">
      <c r="GY524" s="12" t="s">
        <v>179</v>
      </c>
      <c r="GZ524" s="14" t="s">
        <v>25</v>
      </c>
      <c r="HA524" s="12" t="s">
        <v>413</v>
      </c>
      <c r="HB524" s="131" t="str">
        <f t="shared" si="65"/>
        <v>No Mounting Bracket</v>
      </c>
    </row>
    <row r="525" spans="207:210" x14ac:dyDescent="0.3">
      <c r="GY525" s="12" t="s">
        <v>179</v>
      </c>
      <c r="GZ525" s="14" t="s">
        <v>25</v>
      </c>
      <c r="HA525" s="12" t="s">
        <v>419</v>
      </c>
      <c r="HB525" s="131" t="str">
        <f t="shared" si="65"/>
        <v>Ludwig Classic 9.5mm</v>
      </c>
    </row>
    <row r="526" spans="207:210" x14ac:dyDescent="0.3">
      <c r="GY526" s="12" t="s">
        <v>179</v>
      </c>
      <c r="GZ526" s="14" t="s">
        <v>25</v>
      </c>
      <c r="HA526" s="12" t="s">
        <v>424</v>
      </c>
      <c r="HB526" s="131" t="str">
        <f t="shared" si="65"/>
        <v>Triad Bracket 12mm</v>
      </c>
    </row>
    <row r="527" spans="207:210" x14ac:dyDescent="0.3">
      <c r="GY527" s="12" t="s">
        <v>181</v>
      </c>
      <c r="GZ527" s="14" t="s">
        <v>25</v>
      </c>
      <c r="HA527" s="12" t="s">
        <v>413</v>
      </c>
      <c r="HB527" s="131" t="str">
        <f t="shared" si="65"/>
        <v>No Mounting Bracket</v>
      </c>
    </row>
    <row r="528" spans="207:210" x14ac:dyDescent="0.3">
      <c r="GY528" s="12" t="s">
        <v>181</v>
      </c>
      <c r="GZ528" s="14" t="s">
        <v>25</v>
      </c>
      <c r="HA528" s="12" t="s">
        <v>419</v>
      </c>
      <c r="HB528" s="131" t="str">
        <f t="shared" si="65"/>
        <v>Ludwig Classic 9.5mm</v>
      </c>
    </row>
    <row r="529" spans="207:210" x14ac:dyDescent="0.3">
      <c r="GY529" s="12" t="s">
        <v>181</v>
      </c>
      <c r="GZ529" s="14" t="s">
        <v>25</v>
      </c>
      <c r="HA529" s="12" t="s">
        <v>417</v>
      </c>
      <c r="HB529" s="131" t="str">
        <f t="shared" si="65"/>
        <v>Vibraband w/Ludwig 9.5mm</v>
      </c>
    </row>
    <row r="530" spans="207:210" x14ac:dyDescent="0.3">
      <c r="GY530" s="12" t="s">
        <v>181</v>
      </c>
      <c r="GZ530" s="14" t="s">
        <v>25</v>
      </c>
      <c r="HA530" s="12" t="s">
        <v>424</v>
      </c>
      <c r="HB530" s="131" t="str">
        <f t="shared" si="65"/>
        <v>Triad Bracket 12mm</v>
      </c>
    </row>
    <row r="531" spans="207:210" x14ac:dyDescent="0.3">
      <c r="GY531" s="12" t="s">
        <v>181</v>
      </c>
      <c r="GZ531" s="14" t="s">
        <v>25</v>
      </c>
      <c r="HA531" s="12" t="s">
        <v>418</v>
      </c>
      <c r="HB531" s="131" t="str">
        <f t="shared" si="65"/>
        <v>Vibraband w/Triad 12mm</v>
      </c>
    </row>
    <row r="532" spans="207:210" x14ac:dyDescent="0.3">
      <c r="GY532" s="12" t="s">
        <v>176</v>
      </c>
      <c r="GZ532" s="14" t="s">
        <v>25</v>
      </c>
      <c r="HA532" s="12" t="s">
        <v>413</v>
      </c>
      <c r="HB532" s="131" t="str">
        <f t="shared" si="65"/>
        <v>No Mounting Bracket</v>
      </c>
    </row>
    <row r="533" spans="207:210" x14ac:dyDescent="0.3">
      <c r="GY533" s="12" t="s">
        <v>176</v>
      </c>
      <c r="GZ533" s="14" t="s">
        <v>25</v>
      </c>
      <c r="HA533" s="12" t="s">
        <v>419</v>
      </c>
      <c r="HB533" s="131" t="str">
        <f t="shared" si="65"/>
        <v>Ludwig Classic 9.5mm</v>
      </c>
    </row>
    <row r="534" spans="207:210" x14ac:dyDescent="0.3">
      <c r="GY534" s="12" t="s">
        <v>176</v>
      </c>
      <c r="GZ534" s="14" t="s">
        <v>25</v>
      </c>
      <c r="HA534" s="12" t="s">
        <v>417</v>
      </c>
      <c r="HB534" s="131" t="str">
        <f t="shared" si="65"/>
        <v>Vibraband w/Ludwig 9.5mm</v>
      </c>
    </row>
    <row r="535" spans="207:210" x14ac:dyDescent="0.3">
      <c r="GY535" s="12" t="s">
        <v>176</v>
      </c>
      <c r="GZ535" s="14" t="s">
        <v>25</v>
      </c>
      <c r="HA535" s="12" t="s">
        <v>424</v>
      </c>
      <c r="HB535" s="131" t="str">
        <f t="shared" si="65"/>
        <v>Triad Bracket 12mm</v>
      </c>
    </row>
    <row r="536" spans="207:210" x14ac:dyDescent="0.3">
      <c r="GY536" s="12" t="s">
        <v>176</v>
      </c>
      <c r="GZ536" s="14" t="s">
        <v>25</v>
      </c>
      <c r="HA536" s="12" t="s">
        <v>418</v>
      </c>
      <c r="HB536" s="131" t="str">
        <f t="shared" si="65"/>
        <v>Vibraband w/Triad 12mm</v>
      </c>
    </row>
    <row r="537" spans="207:210" x14ac:dyDescent="0.3">
      <c r="GY537" s="12" t="s">
        <v>180</v>
      </c>
      <c r="GZ537" s="14" t="s">
        <v>25</v>
      </c>
      <c r="HA537" s="12" t="s">
        <v>413</v>
      </c>
      <c r="HB537" s="131" t="str">
        <f t="shared" si="65"/>
        <v>No Mounting Bracket</v>
      </c>
    </row>
    <row r="538" spans="207:210" x14ac:dyDescent="0.3">
      <c r="GY538" s="12" t="s">
        <v>180</v>
      </c>
      <c r="GZ538" s="14" t="s">
        <v>25</v>
      </c>
      <c r="HA538" s="12" t="s">
        <v>419</v>
      </c>
      <c r="HB538" s="131" t="str">
        <f t="shared" si="65"/>
        <v>Ludwig Classic 9.5mm</v>
      </c>
    </row>
    <row r="539" spans="207:210" x14ac:dyDescent="0.3">
      <c r="GY539" s="12" t="s">
        <v>180</v>
      </c>
      <c r="GZ539" s="14" t="s">
        <v>25</v>
      </c>
      <c r="HA539" s="12" t="s">
        <v>424</v>
      </c>
      <c r="HB539" s="131" t="str">
        <f t="shared" si="65"/>
        <v>Triad Bracket 12mm</v>
      </c>
    </row>
    <row r="540" spans="207:210" x14ac:dyDescent="0.3">
      <c r="GY540" s="12" t="s">
        <v>182</v>
      </c>
      <c r="GZ540" s="14" t="s">
        <v>25</v>
      </c>
      <c r="HA540" s="12" t="s">
        <v>413</v>
      </c>
      <c r="HB540" s="131" t="str">
        <f t="shared" si="65"/>
        <v>No Mounting Bracket</v>
      </c>
    </row>
    <row r="541" spans="207:210" x14ac:dyDescent="0.3">
      <c r="GY541" s="12" t="s">
        <v>182</v>
      </c>
      <c r="GZ541" s="14" t="s">
        <v>25</v>
      </c>
      <c r="HA541" s="12" t="s">
        <v>419</v>
      </c>
      <c r="HB541" s="131" t="str">
        <f t="shared" si="65"/>
        <v>Ludwig Classic 9.5mm</v>
      </c>
    </row>
    <row r="542" spans="207:210" x14ac:dyDescent="0.3">
      <c r="GY542" s="12" t="s">
        <v>182</v>
      </c>
      <c r="GZ542" s="14" t="s">
        <v>25</v>
      </c>
      <c r="HA542" s="12" t="s">
        <v>417</v>
      </c>
      <c r="HB542" s="131" t="str">
        <f t="shared" si="65"/>
        <v>Vibraband w/Ludwig 9.5mm</v>
      </c>
    </row>
    <row r="543" spans="207:210" x14ac:dyDescent="0.3">
      <c r="GY543" s="12" t="s">
        <v>182</v>
      </c>
      <c r="GZ543" s="14" t="s">
        <v>25</v>
      </c>
      <c r="HA543" s="12" t="s">
        <v>424</v>
      </c>
      <c r="HB543" s="131" t="str">
        <f t="shared" si="65"/>
        <v>Triad Bracket 12mm</v>
      </c>
    </row>
    <row r="544" spans="207:210" x14ac:dyDescent="0.3">
      <c r="GY544" s="12" t="s">
        <v>182</v>
      </c>
      <c r="GZ544" s="14" t="s">
        <v>25</v>
      </c>
      <c r="HA544" s="12" t="s">
        <v>418</v>
      </c>
      <c r="HB544" s="131" t="str">
        <f t="shared" si="65"/>
        <v>Vibraband w/Triad 12mm</v>
      </c>
    </row>
    <row r="545" spans="207:210" x14ac:dyDescent="0.3">
      <c r="GY545" s="12" t="s">
        <v>183</v>
      </c>
      <c r="GZ545" s="14" t="s">
        <v>25</v>
      </c>
      <c r="HA545" s="12" t="s">
        <v>413</v>
      </c>
      <c r="HB545" s="131" t="str">
        <f t="shared" si="65"/>
        <v>No Mounting Bracket</v>
      </c>
    </row>
    <row r="546" spans="207:210" x14ac:dyDescent="0.3">
      <c r="GY546" s="12" t="s">
        <v>183</v>
      </c>
      <c r="GZ546" s="14" t="s">
        <v>25</v>
      </c>
      <c r="HA546" s="12" t="s">
        <v>419</v>
      </c>
      <c r="HB546" s="131" t="str">
        <f t="shared" si="65"/>
        <v>Ludwig Classic 9.5mm</v>
      </c>
    </row>
    <row r="547" spans="207:210" x14ac:dyDescent="0.3">
      <c r="GY547" s="12" t="s">
        <v>183</v>
      </c>
      <c r="GZ547" s="14" t="s">
        <v>25</v>
      </c>
      <c r="HA547" s="12" t="s">
        <v>417</v>
      </c>
      <c r="HB547" s="131" t="str">
        <f t="shared" si="65"/>
        <v>Vibraband w/Ludwig 9.5mm</v>
      </c>
    </row>
    <row r="548" spans="207:210" x14ac:dyDescent="0.3">
      <c r="GY548" s="12" t="s">
        <v>183</v>
      </c>
      <c r="GZ548" s="14" t="s">
        <v>25</v>
      </c>
      <c r="HA548" s="12" t="s">
        <v>424</v>
      </c>
      <c r="HB548" s="131" t="str">
        <f t="shared" si="65"/>
        <v>Triad Bracket 12mm</v>
      </c>
    </row>
    <row r="549" spans="207:210" x14ac:dyDescent="0.3">
      <c r="GY549" s="12" t="s">
        <v>183</v>
      </c>
      <c r="GZ549" s="14" t="s">
        <v>25</v>
      </c>
      <c r="HA549" s="12" t="s">
        <v>418</v>
      </c>
      <c r="HB549" s="131" t="str">
        <f t="shared" si="65"/>
        <v>Vibraband w/Triad 12mm</v>
      </c>
    </row>
    <row r="550" spans="207:210" x14ac:dyDescent="0.3">
      <c r="GY550" s="12" t="s">
        <v>184</v>
      </c>
      <c r="GZ550" s="14" t="s">
        <v>25</v>
      </c>
      <c r="HA550" s="12" t="s">
        <v>413</v>
      </c>
      <c r="HB550" s="131" t="str">
        <f t="shared" si="65"/>
        <v>No Mounting Bracket</v>
      </c>
    </row>
    <row r="551" spans="207:210" x14ac:dyDescent="0.3">
      <c r="GY551" s="12" t="s">
        <v>184</v>
      </c>
      <c r="GZ551" s="14" t="s">
        <v>25</v>
      </c>
      <c r="HA551" s="12" t="s">
        <v>419</v>
      </c>
      <c r="HB551" s="131" t="str">
        <f t="shared" si="65"/>
        <v>Ludwig Classic 9.5mm</v>
      </c>
    </row>
    <row r="552" spans="207:210" x14ac:dyDescent="0.3">
      <c r="GY552" s="12" t="s">
        <v>184</v>
      </c>
      <c r="GZ552" s="14" t="s">
        <v>25</v>
      </c>
      <c r="HA552" s="12" t="s">
        <v>417</v>
      </c>
      <c r="HB552" s="131" t="str">
        <f t="shared" si="65"/>
        <v>Vibraband w/Ludwig 9.5mm</v>
      </c>
    </row>
    <row r="553" spans="207:210" x14ac:dyDescent="0.3">
      <c r="GY553" s="12" t="s">
        <v>184</v>
      </c>
      <c r="GZ553" s="14" t="s">
        <v>25</v>
      </c>
      <c r="HA553" s="12" t="s">
        <v>424</v>
      </c>
      <c r="HB553" s="131" t="str">
        <f t="shared" si="65"/>
        <v>Triad Bracket 12mm</v>
      </c>
    </row>
    <row r="554" spans="207:210" x14ac:dyDescent="0.3">
      <c r="GY554" s="12" t="s">
        <v>184</v>
      </c>
      <c r="GZ554" s="14" t="s">
        <v>25</v>
      </c>
      <c r="HA554" s="12" t="s">
        <v>418</v>
      </c>
      <c r="HB554" s="131" t="str">
        <f t="shared" si="65"/>
        <v>Vibraband w/Triad 12mm</v>
      </c>
    </row>
    <row r="555" spans="207:210" x14ac:dyDescent="0.3">
      <c r="GY555" s="12" t="s">
        <v>205</v>
      </c>
      <c r="GZ555" s="14" t="s">
        <v>25</v>
      </c>
      <c r="HA555" s="12" t="s">
        <v>413</v>
      </c>
      <c r="HB555" s="131" t="str">
        <f t="shared" si="65"/>
        <v>No Mounting Bracket</v>
      </c>
    </row>
    <row r="556" spans="207:210" x14ac:dyDescent="0.3">
      <c r="GY556" s="12" t="s">
        <v>205</v>
      </c>
      <c r="GZ556" s="14" t="s">
        <v>25</v>
      </c>
      <c r="HA556" s="12" t="s">
        <v>419</v>
      </c>
      <c r="HB556" s="131" t="str">
        <f t="shared" si="65"/>
        <v>Ludwig Classic 9.5mm</v>
      </c>
    </row>
    <row r="557" spans="207:210" x14ac:dyDescent="0.3">
      <c r="GY557" s="12" t="s">
        <v>205</v>
      </c>
      <c r="GZ557" s="14" t="s">
        <v>25</v>
      </c>
      <c r="HA557" s="12" t="s">
        <v>424</v>
      </c>
      <c r="HB557" s="131" t="str">
        <f t="shared" si="65"/>
        <v>Triad Bracket 12mm</v>
      </c>
    </row>
    <row r="558" spans="207:210" x14ac:dyDescent="0.3">
      <c r="GY558" s="12" t="s">
        <v>137</v>
      </c>
      <c r="GZ558" s="14" t="s">
        <v>25</v>
      </c>
      <c r="HA558" s="12" t="s">
        <v>413</v>
      </c>
      <c r="HB558" s="131" t="str">
        <f t="shared" si="65"/>
        <v>No Mounting Bracket</v>
      </c>
    </row>
    <row r="559" spans="207:210" x14ac:dyDescent="0.3">
      <c r="GY559" s="12" t="s">
        <v>137</v>
      </c>
      <c r="GZ559" s="14" t="s">
        <v>25</v>
      </c>
      <c r="HA559" s="12" t="s">
        <v>419</v>
      </c>
      <c r="HB559" s="131" t="str">
        <f t="shared" si="65"/>
        <v>Ludwig Classic 9.5mm</v>
      </c>
    </row>
    <row r="560" spans="207:210" x14ac:dyDescent="0.3">
      <c r="GY560" s="12" t="s">
        <v>137</v>
      </c>
      <c r="GZ560" s="14" t="s">
        <v>25</v>
      </c>
      <c r="HA560" s="12" t="s">
        <v>417</v>
      </c>
      <c r="HB560" s="131" t="str">
        <f t="shared" si="65"/>
        <v>Vibraband w/Ludwig 9.5mm</v>
      </c>
    </row>
    <row r="561" spans="207:210" x14ac:dyDescent="0.3">
      <c r="GY561" s="12" t="s">
        <v>137</v>
      </c>
      <c r="GZ561" s="14" t="s">
        <v>25</v>
      </c>
      <c r="HA561" s="12" t="s">
        <v>424</v>
      </c>
      <c r="HB561" s="131" t="str">
        <f t="shared" si="65"/>
        <v>Triad Bracket 12mm</v>
      </c>
    </row>
    <row r="562" spans="207:210" x14ac:dyDescent="0.3">
      <c r="GY562" s="12" t="s">
        <v>137</v>
      </c>
      <c r="GZ562" s="14" t="s">
        <v>25</v>
      </c>
      <c r="HA562" s="12" t="s">
        <v>418</v>
      </c>
      <c r="HB562" s="131" t="str">
        <f t="shared" si="65"/>
        <v>Vibraband w/Triad 12mm</v>
      </c>
    </row>
    <row r="563" spans="207:210" x14ac:dyDescent="0.3">
      <c r="GY563" s="12" t="s">
        <v>134</v>
      </c>
      <c r="GZ563" s="14" t="s">
        <v>25</v>
      </c>
      <c r="HA563" s="12" t="s">
        <v>413</v>
      </c>
      <c r="HB563" s="131" t="str">
        <f t="shared" si="65"/>
        <v>No Mounting Bracket</v>
      </c>
    </row>
    <row r="564" spans="207:210" x14ac:dyDescent="0.3">
      <c r="GY564" s="12" t="s">
        <v>134</v>
      </c>
      <c r="GZ564" s="14" t="s">
        <v>25</v>
      </c>
      <c r="HA564" s="12" t="s">
        <v>419</v>
      </c>
      <c r="HB564" s="131" t="str">
        <f t="shared" si="65"/>
        <v>Ludwig Classic 9.5mm</v>
      </c>
    </row>
    <row r="565" spans="207:210" x14ac:dyDescent="0.3">
      <c r="GY565" s="12" t="s">
        <v>134</v>
      </c>
      <c r="GZ565" s="14" t="s">
        <v>25</v>
      </c>
      <c r="HA565" s="12" t="s">
        <v>417</v>
      </c>
      <c r="HB565" s="131" t="str">
        <f t="shared" si="65"/>
        <v>Vibraband w/Ludwig 9.5mm</v>
      </c>
    </row>
    <row r="566" spans="207:210" x14ac:dyDescent="0.3">
      <c r="GY566" s="12" t="s">
        <v>134</v>
      </c>
      <c r="GZ566" s="14" t="s">
        <v>25</v>
      </c>
      <c r="HA566" s="12" t="s">
        <v>424</v>
      </c>
      <c r="HB566" s="131" t="str">
        <f t="shared" si="65"/>
        <v>Triad Bracket 12mm</v>
      </c>
    </row>
    <row r="567" spans="207:210" x14ac:dyDescent="0.3">
      <c r="GY567" s="12" t="s">
        <v>134</v>
      </c>
      <c r="GZ567" s="14" t="s">
        <v>25</v>
      </c>
      <c r="HA567" s="12" t="s">
        <v>418</v>
      </c>
      <c r="HB567" s="131" t="str">
        <f t="shared" si="65"/>
        <v>Vibraband w/Triad 12mm</v>
      </c>
    </row>
    <row r="568" spans="207:210" x14ac:dyDescent="0.3">
      <c r="GY568" s="12" t="s">
        <v>139</v>
      </c>
      <c r="GZ568" s="14" t="s">
        <v>25</v>
      </c>
      <c r="HA568" s="12" t="s">
        <v>413</v>
      </c>
      <c r="HB568" s="131" t="str">
        <f t="shared" si="65"/>
        <v>No Mounting Bracket</v>
      </c>
    </row>
    <row r="569" spans="207:210" x14ac:dyDescent="0.3">
      <c r="GY569" s="12" t="s">
        <v>139</v>
      </c>
      <c r="GZ569" s="14" t="s">
        <v>25</v>
      </c>
      <c r="HA569" s="12" t="s">
        <v>419</v>
      </c>
      <c r="HB569" s="131" t="str">
        <f t="shared" si="65"/>
        <v>Ludwig Classic 9.5mm</v>
      </c>
    </row>
    <row r="570" spans="207:210" x14ac:dyDescent="0.3">
      <c r="GY570" s="12" t="s">
        <v>139</v>
      </c>
      <c r="GZ570" s="14" t="s">
        <v>25</v>
      </c>
      <c r="HA570" s="12" t="s">
        <v>417</v>
      </c>
      <c r="HB570" s="131" t="str">
        <f t="shared" si="65"/>
        <v>Vibraband w/Ludwig 9.5mm</v>
      </c>
    </row>
    <row r="571" spans="207:210" x14ac:dyDescent="0.3">
      <c r="GY571" s="12" t="s">
        <v>139</v>
      </c>
      <c r="GZ571" s="14" t="s">
        <v>25</v>
      </c>
      <c r="HA571" s="12" t="s">
        <v>424</v>
      </c>
      <c r="HB571" s="131" t="str">
        <f t="shared" si="65"/>
        <v>Triad Bracket 12mm</v>
      </c>
    </row>
    <row r="572" spans="207:210" x14ac:dyDescent="0.3">
      <c r="GY572" s="12" t="s">
        <v>139</v>
      </c>
      <c r="GZ572" s="14" t="s">
        <v>25</v>
      </c>
      <c r="HA572" s="12" t="s">
        <v>418</v>
      </c>
      <c r="HB572" s="131" t="str">
        <f t="shared" si="65"/>
        <v>Vibraband w/Triad 12mm</v>
      </c>
    </row>
    <row r="573" spans="207:210" x14ac:dyDescent="0.3">
      <c r="GY573" s="12" t="s">
        <v>141</v>
      </c>
      <c r="GZ573" s="14" t="s">
        <v>25</v>
      </c>
      <c r="HA573" s="12" t="s">
        <v>413</v>
      </c>
      <c r="HB573" s="131" t="str">
        <f t="shared" si="65"/>
        <v>No Mounting Bracket</v>
      </c>
    </row>
    <row r="574" spans="207:210" x14ac:dyDescent="0.3">
      <c r="GY574" s="12" t="s">
        <v>141</v>
      </c>
      <c r="GZ574" s="14" t="s">
        <v>25</v>
      </c>
      <c r="HA574" s="12" t="s">
        <v>419</v>
      </c>
      <c r="HB574" s="131" t="str">
        <f t="shared" si="65"/>
        <v>Ludwig Classic 9.5mm</v>
      </c>
    </row>
    <row r="575" spans="207:210" x14ac:dyDescent="0.3">
      <c r="GY575" s="12" t="s">
        <v>141</v>
      </c>
      <c r="GZ575" s="14" t="s">
        <v>25</v>
      </c>
      <c r="HA575" s="12" t="s">
        <v>417</v>
      </c>
      <c r="HB575" s="131" t="str">
        <f t="shared" si="65"/>
        <v>Vibraband w/Ludwig 9.5mm</v>
      </c>
    </row>
    <row r="576" spans="207:210" x14ac:dyDescent="0.3">
      <c r="GY576" s="12" t="s">
        <v>141</v>
      </c>
      <c r="GZ576" s="14" t="s">
        <v>25</v>
      </c>
      <c r="HA576" s="12" t="s">
        <v>424</v>
      </c>
      <c r="HB576" s="131" t="str">
        <f t="shared" si="65"/>
        <v>Triad Bracket 12mm</v>
      </c>
    </row>
    <row r="577" spans="207:210" x14ac:dyDescent="0.3">
      <c r="GY577" s="12" t="s">
        <v>141</v>
      </c>
      <c r="GZ577" s="14" t="s">
        <v>25</v>
      </c>
      <c r="HA577" s="12" t="s">
        <v>418</v>
      </c>
      <c r="HB577" s="131" t="str">
        <f t="shared" si="65"/>
        <v>Vibraband w/Triad 12mm</v>
      </c>
    </row>
    <row r="578" spans="207:210" x14ac:dyDescent="0.3">
      <c r="GY578" s="12" t="s">
        <v>133</v>
      </c>
      <c r="GZ578" s="14" t="s">
        <v>25</v>
      </c>
      <c r="HA578" s="12" t="s">
        <v>413</v>
      </c>
      <c r="HB578" s="131" t="str">
        <f t="shared" si="65"/>
        <v>No Mounting Bracket</v>
      </c>
    </row>
    <row r="579" spans="207:210" x14ac:dyDescent="0.3">
      <c r="GY579" s="12" t="s">
        <v>133</v>
      </c>
      <c r="GZ579" s="14" t="s">
        <v>25</v>
      </c>
      <c r="HA579" s="12" t="s">
        <v>419</v>
      </c>
      <c r="HB579" s="131" t="str">
        <f t="shared" si="65"/>
        <v>Ludwig Classic 9.5mm</v>
      </c>
    </row>
    <row r="580" spans="207:210" x14ac:dyDescent="0.3">
      <c r="GY580" s="12" t="s">
        <v>133</v>
      </c>
      <c r="GZ580" s="14" t="s">
        <v>25</v>
      </c>
      <c r="HA580" s="12" t="s">
        <v>424</v>
      </c>
      <c r="HB580" s="131" t="str">
        <f t="shared" si="65"/>
        <v>Triad Bracket 12mm</v>
      </c>
    </row>
    <row r="581" spans="207:210" x14ac:dyDescent="0.3">
      <c r="GY581" s="12" t="s">
        <v>136</v>
      </c>
      <c r="GZ581" s="14" t="s">
        <v>25</v>
      </c>
      <c r="HA581" s="12" t="s">
        <v>413</v>
      </c>
      <c r="HB581" s="131" t="str">
        <f t="shared" si="65"/>
        <v>No Mounting Bracket</v>
      </c>
    </row>
    <row r="582" spans="207:210" x14ac:dyDescent="0.3">
      <c r="GY582" s="12" t="s">
        <v>136</v>
      </c>
      <c r="GZ582" s="14" t="s">
        <v>25</v>
      </c>
      <c r="HA582" s="12" t="s">
        <v>419</v>
      </c>
      <c r="HB582" s="131" t="str">
        <f t="shared" si="65"/>
        <v>Ludwig Classic 9.5mm</v>
      </c>
    </row>
    <row r="583" spans="207:210" x14ac:dyDescent="0.3">
      <c r="GY583" s="12" t="s">
        <v>136</v>
      </c>
      <c r="GZ583" s="14" t="s">
        <v>25</v>
      </c>
      <c r="HA583" s="12" t="s">
        <v>417</v>
      </c>
      <c r="HB583" s="131" t="str">
        <f t="shared" si="65"/>
        <v>Vibraband w/Ludwig 9.5mm</v>
      </c>
    </row>
    <row r="584" spans="207:210" x14ac:dyDescent="0.3">
      <c r="GY584" s="12" t="s">
        <v>136</v>
      </c>
      <c r="GZ584" s="14" t="s">
        <v>25</v>
      </c>
      <c r="HA584" s="12" t="s">
        <v>424</v>
      </c>
      <c r="HB584" s="131" t="str">
        <f t="shared" si="65"/>
        <v>Triad Bracket 12mm</v>
      </c>
    </row>
    <row r="585" spans="207:210" x14ac:dyDescent="0.3">
      <c r="GY585" s="12" t="s">
        <v>136</v>
      </c>
      <c r="GZ585" s="14" t="s">
        <v>25</v>
      </c>
      <c r="HA585" s="12" t="s">
        <v>418</v>
      </c>
      <c r="HB585" s="131" t="str">
        <f t="shared" si="65"/>
        <v>Vibraband w/Triad 12mm</v>
      </c>
    </row>
    <row r="586" spans="207:210" x14ac:dyDescent="0.3">
      <c r="GY586" s="12" t="s">
        <v>140</v>
      </c>
      <c r="GZ586" s="14" t="s">
        <v>25</v>
      </c>
      <c r="HA586" s="12" t="s">
        <v>413</v>
      </c>
      <c r="HB586" s="131" t="str">
        <f t="shared" ref="HB586:HB649" si="66">INDEX($GV$3:$GV$12,MATCH(HA586,$GU$3:$GU$12,0))</f>
        <v>No Mounting Bracket</v>
      </c>
    </row>
    <row r="587" spans="207:210" x14ac:dyDescent="0.3">
      <c r="GY587" s="12" t="s">
        <v>140</v>
      </c>
      <c r="GZ587" s="14" t="s">
        <v>25</v>
      </c>
      <c r="HA587" s="12" t="s">
        <v>419</v>
      </c>
      <c r="HB587" s="131" t="str">
        <f t="shared" si="66"/>
        <v>Ludwig Classic 9.5mm</v>
      </c>
    </row>
    <row r="588" spans="207:210" x14ac:dyDescent="0.3">
      <c r="GY588" s="12" t="s">
        <v>140</v>
      </c>
      <c r="GZ588" s="14" t="s">
        <v>25</v>
      </c>
      <c r="HA588" s="12" t="s">
        <v>417</v>
      </c>
      <c r="HB588" s="131" t="str">
        <f t="shared" si="66"/>
        <v>Vibraband w/Ludwig 9.5mm</v>
      </c>
    </row>
    <row r="589" spans="207:210" x14ac:dyDescent="0.3">
      <c r="GY589" s="12" t="s">
        <v>140</v>
      </c>
      <c r="GZ589" s="14" t="s">
        <v>25</v>
      </c>
      <c r="HA589" s="12" t="s">
        <v>424</v>
      </c>
      <c r="HB589" s="131" t="str">
        <f t="shared" si="66"/>
        <v>Triad Bracket 12mm</v>
      </c>
    </row>
    <row r="590" spans="207:210" x14ac:dyDescent="0.3">
      <c r="GY590" s="12" t="s">
        <v>140</v>
      </c>
      <c r="GZ590" s="14" t="s">
        <v>25</v>
      </c>
      <c r="HA590" s="12" t="s">
        <v>418</v>
      </c>
      <c r="HB590" s="131" t="str">
        <f t="shared" si="66"/>
        <v>Vibraband w/Triad 12mm</v>
      </c>
    </row>
    <row r="591" spans="207:210" x14ac:dyDescent="0.3">
      <c r="GY591" s="12" t="s">
        <v>143</v>
      </c>
      <c r="GZ591" s="14" t="s">
        <v>25</v>
      </c>
      <c r="HA591" s="12" t="s">
        <v>413</v>
      </c>
      <c r="HB591" s="131" t="str">
        <f t="shared" si="66"/>
        <v>No Mounting Bracket</v>
      </c>
    </row>
    <row r="592" spans="207:210" x14ac:dyDescent="0.3">
      <c r="GY592" s="12" t="s">
        <v>143</v>
      </c>
      <c r="GZ592" s="14" t="s">
        <v>25</v>
      </c>
      <c r="HA592" s="12" t="s">
        <v>419</v>
      </c>
      <c r="HB592" s="131" t="str">
        <f t="shared" si="66"/>
        <v>Ludwig Classic 9.5mm</v>
      </c>
    </row>
    <row r="593" spans="207:210" x14ac:dyDescent="0.3">
      <c r="GY593" s="12" t="s">
        <v>143</v>
      </c>
      <c r="GZ593" s="14" t="s">
        <v>25</v>
      </c>
      <c r="HA593" s="12" t="s">
        <v>417</v>
      </c>
      <c r="HB593" s="131" t="str">
        <f t="shared" si="66"/>
        <v>Vibraband w/Ludwig 9.5mm</v>
      </c>
    </row>
    <row r="594" spans="207:210" x14ac:dyDescent="0.3">
      <c r="GY594" s="12" t="s">
        <v>143</v>
      </c>
      <c r="GZ594" s="14" t="s">
        <v>25</v>
      </c>
      <c r="HA594" s="12" t="s">
        <v>424</v>
      </c>
      <c r="HB594" s="131" t="str">
        <f t="shared" si="66"/>
        <v>Triad Bracket 12mm</v>
      </c>
    </row>
    <row r="595" spans="207:210" x14ac:dyDescent="0.3">
      <c r="GY595" s="12" t="s">
        <v>143</v>
      </c>
      <c r="GZ595" s="14" t="s">
        <v>25</v>
      </c>
      <c r="HA595" s="12" t="s">
        <v>418</v>
      </c>
      <c r="HB595" s="131" t="str">
        <f t="shared" si="66"/>
        <v>Vibraband w/Triad 12mm</v>
      </c>
    </row>
    <row r="596" spans="207:210" x14ac:dyDescent="0.3">
      <c r="GY596" s="12" t="s">
        <v>147</v>
      </c>
      <c r="GZ596" s="14" t="s">
        <v>25</v>
      </c>
      <c r="HA596" s="12" t="s">
        <v>413</v>
      </c>
      <c r="HB596" s="131" t="str">
        <f t="shared" si="66"/>
        <v>No Mounting Bracket</v>
      </c>
    </row>
    <row r="597" spans="207:210" x14ac:dyDescent="0.3">
      <c r="GY597" s="12" t="s">
        <v>147</v>
      </c>
      <c r="GZ597" s="14" t="s">
        <v>25</v>
      </c>
      <c r="HA597" s="12" t="s">
        <v>419</v>
      </c>
      <c r="HB597" s="131" t="str">
        <f t="shared" si="66"/>
        <v>Ludwig Classic 9.5mm</v>
      </c>
    </row>
    <row r="598" spans="207:210" x14ac:dyDescent="0.3">
      <c r="GY598" s="12" t="s">
        <v>147</v>
      </c>
      <c r="GZ598" s="14" t="s">
        <v>25</v>
      </c>
      <c r="HA598" s="12" t="s">
        <v>417</v>
      </c>
      <c r="HB598" s="131" t="str">
        <f t="shared" si="66"/>
        <v>Vibraband w/Ludwig 9.5mm</v>
      </c>
    </row>
    <row r="599" spans="207:210" x14ac:dyDescent="0.3">
      <c r="GY599" s="12" t="s">
        <v>147</v>
      </c>
      <c r="GZ599" s="14" t="s">
        <v>25</v>
      </c>
      <c r="HA599" s="12" t="s">
        <v>424</v>
      </c>
      <c r="HB599" s="131" t="str">
        <f t="shared" si="66"/>
        <v>Triad Bracket 12mm</v>
      </c>
    </row>
    <row r="600" spans="207:210" x14ac:dyDescent="0.3">
      <c r="GY600" s="12" t="s">
        <v>147</v>
      </c>
      <c r="GZ600" s="14" t="s">
        <v>25</v>
      </c>
      <c r="HA600" s="12" t="s">
        <v>418</v>
      </c>
      <c r="HB600" s="131" t="str">
        <f t="shared" si="66"/>
        <v>Vibraband w/Triad 12mm</v>
      </c>
    </row>
    <row r="601" spans="207:210" x14ac:dyDescent="0.3">
      <c r="GY601" s="12" t="s">
        <v>151</v>
      </c>
      <c r="GZ601" s="14" t="s">
        <v>25</v>
      </c>
      <c r="HA601" s="12" t="s">
        <v>413</v>
      </c>
      <c r="HB601" s="131" t="str">
        <f t="shared" si="66"/>
        <v>No Mounting Bracket</v>
      </c>
    </row>
    <row r="602" spans="207:210" x14ac:dyDescent="0.3">
      <c r="GY602" s="12" t="s">
        <v>151</v>
      </c>
      <c r="GZ602" s="14" t="s">
        <v>25</v>
      </c>
      <c r="HA602" s="12" t="s">
        <v>419</v>
      </c>
      <c r="HB602" s="131" t="str">
        <f t="shared" si="66"/>
        <v>Ludwig Classic 9.5mm</v>
      </c>
    </row>
    <row r="603" spans="207:210" x14ac:dyDescent="0.3">
      <c r="GY603" s="12" t="s">
        <v>151</v>
      </c>
      <c r="GZ603" s="14" t="s">
        <v>25</v>
      </c>
      <c r="HA603" s="12" t="s">
        <v>417</v>
      </c>
      <c r="HB603" s="131" t="str">
        <f t="shared" si="66"/>
        <v>Vibraband w/Ludwig 9.5mm</v>
      </c>
    </row>
    <row r="604" spans="207:210" x14ac:dyDescent="0.3">
      <c r="GY604" s="12" t="s">
        <v>151</v>
      </c>
      <c r="GZ604" s="14" t="s">
        <v>25</v>
      </c>
      <c r="HA604" s="12" t="s">
        <v>424</v>
      </c>
      <c r="HB604" s="131" t="str">
        <f t="shared" si="66"/>
        <v>Triad Bracket 12mm</v>
      </c>
    </row>
    <row r="605" spans="207:210" x14ac:dyDescent="0.3">
      <c r="GY605" s="12" t="s">
        <v>151</v>
      </c>
      <c r="GZ605" s="14" t="s">
        <v>25</v>
      </c>
      <c r="HA605" s="12" t="s">
        <v>418</v>
      </c>
      <c r="HB605" s="131" t="str">
        <f t="shared" si="66"/>
        <v>Vibraband w/Triad 12mm</v>
      </c>
    </row>
    <row r="606" spans="207:210" x14ac:dyDescent="0.3">
      <c r="GY606" s="12" t="s">
        <v>144</v>
      </c>
      <c r="GZ606" s="14" t="s">
        <v>26</v>
      </c>
      <c r="HA606" s="12" t="s">
        <v>413</v>
      </c>
      <c r="HB606" s="131" t="str">
        <f t="shared" si="66"/>
        <v>No Mounting Bracket</v>
      </c>
    </row>
    <row r="607" spans="207:210" x14ac:dyDescent="0.3">
      <c r="GY607" s="12" t="s">
        <v>144</v>
      </c>
      <c r="GZ607" s="14" t="s">
        <v>26</v>
      </c>
      <c r="HA607" s="12" t="s">
        <v>419</v>
      </c>
      <c r="HB607" s="131" t="str">
        <f t="shared" si="66"/>
        <v>Ludwig Classic 9.5mm</v>
      </c>
    </row>
    <row r="608" spans="207:210" x14ac:dyDescent="0.3">
      <c r="GY608" s="12" t="s">
        <v>144</v>
      </c>
      <c r="GZ608" s="14" t="s">
        <v>26</v>
      </c>
      <c r="HA608" s="12" t="s">
        <v>417</v>
      </c>
      <c r="HB608" s="131" t="str">
        <f t="shared" si="66"/>
        <v>Vibraband w/Ludwig 9.5mm</v>
      </c>
    </row>
    <row r="609" spans="207:210" x14ac:dyDescent="0.3">
      <c r="GY609" s="12" t="s">
        <v>144</v>
      </c>
      <c r="GZ609" s="14" t="s">
        <v>26</v>
      </c>
      <c r="HA609" s="12" t="s">
        <v>424</v>
      </c>
      <c r="HB609" s="131" t="str">
        <f t="shared" si="66"/>
        <v>Triad Bracket 12mm</v>
      </c>
    </row>
    <row r="610" spans="207:210" x14ac:dyDescent="0.3">
      <c r="GY610" s="12" t="s">
        <v>144</v>
      </c>
      <c r="GZ610" s="14" t="s">
        <v>26</v>
      </c>
      <c r="HA610" s="12" t="s">
        <v>418</v>
      </c>
      <c r="HB610" s="131" t="str">
        <f t="shared" si="66"/>
        <v>Vibraband w/Triad 12mm</v>
      </c>
    </row>
    <row r="611" spans="207:210" x14ac:dyDescent="0.3">
      <c r="GY611" s="12" t="s">
        <v>148</v>
      </c>
      <c r="GZ611" s="14" t="s">
        <v>26</v>
      </c>
      <c r="HA611" s="12" t="s">
        <v>413</v>
      </c>
      <c r="HB611" s="131" t="str">
        <f t="shared" si="66"/>
        <v>No Mounting Bracket</v>
      </c>
    </row>
    <row r="612" spans="207:210" x14ac:dyDescent="0.3">
      <c r="GY612" s="12" t="s">
        <v>148</v>
      </c>
      <c r="GZ612" s="14" t="s">
        <v>26</v>
      </c>
      <c r="HA612" s="12" t="s">
        <v>419</v>
      </c>
      <c r="HB612" s="131" t="str">
        <f t="shared" si="66"/>
        <v>Ludwig Classic 9.5mm</v>
      </c>
    </row>
    <row r="613" spans="207:210" x14ac:dyDescent="0.3">
      <c r="GY613" s="12" t="s">
        <v>148</v>
      </c>
      <c r="GZ613" s="14" t="s">
        <v>26</v>
      </c>
      <c r="HA613" s="12" t="s">
        <v>417</v>
      </c>
      <c r="HB613" s="131" t="str">
        <f t="shared" si="66"/>
        <v>Vibraband w/Ludwig 9.5mm</v>
      </c>
    </row>
    <row r="614" spans="207:210" x14ac:dyDescent="0.3">
      <c r="GY614" s="12" t="s">
        <v>148</v>
      </c>
      <c r="GZ614" s="14" t="s">
        <v>26</v>
      </c>
      <c r="HA614" s="12" t="s">
        <v>424</v>
      </c>
      <c r="HB614" s="131" t="str">
        <f t="shared" si="66"/>
        <v>Triad Bracket 12mm</v>
      </c>
    </row>
    <row r="615" spans="207:210" x14ac:dyDescent="0.3">
      <c r="GY615" s="12" t="s">
        <v>148</v>
      </c>
      <c r="GZ615" s="14" t="s">
        <v>26</v>
      </c>
      <c r="HA615" s="12" t="s">
        <v>418</v>
      </c>
      <c r="HB615" s="131" t="str">
        <f t="shared" si="66"/>
        <v>Vibraband w/Triad 12mm</v>
      </c>
    </row>
    <row r="616" spans="207:210" x14ac:dyDescent="0.3">
      <c r="GY616" s="12" t="s">
        <v>157</v>
      </c>
      <c r="GZ616" s="14" t="s">
        <v>26</v>
      </c>
      <c r="HA616" s="12" t="s">
        <v>413</v>
      </c>
      <c r="HB616" s="131" t="str">
        <f t="shared" si="66"/>
        <v>No Mounting Bracket</v>
      </c>
    </row>
    <row r="617" spans="207:210" x14ac:dyDescent="0.3">
      <c r="GY617" s="12" t="s">
        <v>157</v>
      </c>
      <c r="GZ617" s="14" t="s">
        <v>26</v>
      </c>
      <c r="HA617" s="12" t="s">
        <v>419</v>
      </c>
      <c r="HB617" s="131" t="str">
        <f t="shared" si="66"/>
        <v>Ludwig Classic 9.5mm</v>
      </c>
    </row>
    <row r="618" spans="207:210" x14ac:dyDescent="0.3">
      <c r="GY618" s="12" t="s">
        <v>157</v>
      </c>
      <c r="GZ618" s="14" t="s">
        <v>26</v>
      </c>
      <c r="HA618" s="12" t="s">
        <v>417</v>
      </c>
      <c r="HB618" s="131" t="str">
        <f t="shared" si="66"/>
        <v>Vibraband w/Ludwig 9.5mm</v>
      </c>
    </row>
    <row r="619" spans="207:210" x14ac:dyDescent="0.3">
      <c r="GY619" s="12" t="s">
        <v>157</v>
      </c>
      <c r="GZ619" s="14" t="s">
        <v>26</v>
      </c>
      <c r="HA619" s="12" t="s">
        <v>424</v>
      </c>
      <c r="HB619" s="131" t="str">
        <f t="shared" si="66"/>
        <v>Triad Bracket 12mm</v>
      </c>
    </row>
    <row r="620" spans="207:210" x14ac:dyDescent="0.3">
      <c r="GY620" s="12" t="s">
        <v>157</v>
      </c>
      <c r="GZ620" s="14" t="s">
        <v>26</v>
      </c>
      <c r="HA620" s="12" t="s">
        <v>418</v>
      </c>
      <c r="HB620" s="131" t="str">
        <f t="shared" si="66"/>
        <v>Vibraband w/Triad 12mm</v>
      </c>
    </row>
    <row r="621" spans="207:210" x14ac:dyDescent="0.3">
      <c r="GY621" s="12" t="s">
        <v>146</v>
      </c>
      <c r="GZ621" s="14" t="s">
        <v>26</v>
      </c>
      <c r="HA621" s="12" t="s">
        <v>413</v>
      </c>
      <c r="HB621" s="131" t="str">
        <f t="shared" si="66"/>
        <v>No Mounting Bracket</v>
      </c>
    </row>
    <row r="622" spans="207:210" x14ac:dyDescent="0.3">
      <c r="GY622" s="12" t="s">
        <v>146</v>
      </c>
      <c r="GZ622" s="14" t="s">
        <v>26</v>
      </c>
      <c r="HA622" s="12" t="s">
        <v>419</v>
      </c>
      <c r="HB622" s="131" t="str">
        <f t="shared" si="66"/>
        <v>Ludwig Classic 9.5mm</v>
      </c>
    </row>
    <row r="623" spans="207:210" x14ac:dyDescent="0.3">
      <c r="GY623" s="12" t="s">
        <v>146</v>
      </c>
      <c r="GZ623" s="14" t="s">
        <v>26</v>
      </c>
      <c r="HA623" s="12" t="s">
        <v>417</v>
      </c>
      <c r="HB623" s="131" t="str">
        <f t="shared" si="66"/>
        <v>Vibraband w/Ludwig 9.5mm</v>
      </c>
    </row>
    <row r="624" spans="207:210" x14ac:dyDescent="0.3">
      <c r="GY624" s="12" t="s">
        <v>146</v>
      </c>
      <c r="GZ624" s="14" t="s">
        <v>26</v>
      </c>
      <c r="HA624" s="12" t="s">
        <v>424</v>
      </c>
      <c r="HB624" s="131" t="str">
        <f t="shared" si="66"/>
        <v>Triad Bracket 12mm</v>
      </c>
    </row>
    <row r="625" spans="207:210" x14ac:dyDescent="0.3">
      <c r="GY625" s="12" t="s">
        <v>146</v>
      </c>
      <c r="GZ625" s="14" t="s">
        <v>26</v>
      </c>
      <c r="HA625" s="12" t="s">
        <v>418</v>
      </c>
      <c r="HB625" s="131" t="str">
        <f t="shared" si="66"/>
        <v>Vibraband w/Triad 12mm</v>
      </c>
    </row>
    <row r="626" spans="207:210" x14ac:dyDescent="0.3">
      <c r="GY626" s="12" t="s">
        <v>149</v>
      </c>
      <c r="GZ626" s="14" t="s">
        <v>26</v>
      </c>
      <c r="HA626" s="12" t="s">
        <v>413</v>
      </c>
      <c r="HB626" s="131" t="str">
        <f t="shared" si="66"/>
        <v>No Mounting Bracket</v>
      </c>
    </row>
    <row r="627" spans="207:210" x14ac:dyDescent="0.3">
      <c r="GY627" s="12" t="s">
        <v>149</v>
      </c>
      <c r="GZ627" s="14" t="s">
        <v>26</v>
      </c>
      <c r="HA627" s="12" t="s">
        <v>419</v>
      </c>
      <c r="HB627" s="131" t="str">
        <f t="shared" si="66"/>
        <v>Ludwig Classic 9.5mm</v>
      </c>
    </row>
    <row r="628" spans="207:210" x14ac:dyDescent="0.3">
      <c r="GY628" s="12" t="s">
        <v>149</v>
      </c>
      <c r="GZ628" s="14" t="s">
        <v>26</v>
      </c>
      <c r="HA628" s="12" t="s">
        <v>417</v>
      </c>
      <c r="HB628" s="131" t="str">
        <f t="shared" si="66"/>
        <v>Vibraband w/Ludwig 9.5mm</v>
      </c>
    </row>
    <row r="629" spans="207:210" x14ac:dyDescent="0.3">
      <c r="GY629" s="12" t="s">
        <v>149</v>
      </c>
      <c r="GZ629" s="14" t="s">
        <v>26</v>
      </c>
      <c r="HA629" s="12" t="s">
        <v>424</v>
      </c>
      <c r="HB629" s="131" t="str">
        <f t="shared" si="66"/>
        <v>Triad Bracket 12mm</v>
      </c>
    </row>
    <row r="630" spans="207:210" x14ac:dyDescent="0.3">
      <c r="GY630" s="12" t="s">
        <v>149</v>
      </c>
      <c r="GZ630" s="14" t="s">
        <v>26</v>
      </c>
      <c r="HA630" s="12" t="s">
        <v>418</v>
      </c>
      <c r="HB630" s="131" t="str">
        <f t="shared" si="66"/>
        <v>Vibraband w/Triad 12mm</v>
      </c>
    </row>
    <row r="631" spans="207:210" x14ac:dyDescent="0.3">
      <c r="GY631" s="12" t="s">
        <v>163</v>
      </c>
      <c r="GZ631" s="14" t="s">
        <v>26</v>
      </c>
      <c r="HA631" s="12" t="s">
        <v>413</v>
      </c>
      <c r="HB631" s="131" t="str">
        <f t="shared" si="66"/>
        <v>No Mounting Bracket</v>
      </c>
    </row>
    <row r="632" spans="207:210" x14ac:dyDescent="0.3">
      <c r="GY632" s="12" t="s">
        <v>163</v>
      </c>
      <c r="GZ632" s="14" t="s">
        <v>26</v>
      </c>
      <c r="HA632" s="12" t="s">
        <v>419</v>
      </c>
      <c r="HB632" s="131" t="str">
        <f t="shared" si="66"/>
        <v>Ludwig Classic 9.5mm</v>
      </c>
    </row>
    <row r="633" spans="207:210" x14ac:dyDescent="0.3">
      <c r="GY633" s="12" t="s">
        <v>163</v>
      </c>
      <c r="GZ633" s="14" t="s">
        <v>26</v>
      </c>
      <c r="HA633" s="12" t="s">
        <v>417</v>
      </c>
      <c r="HB633" s="131" t="str">
        <f t="shared" si="66"/>
        <v>Vibraband w/Ludwig 9.5mm</v>
      </c>
    </row>
    <row r="634" spans="207:210" x14ac:dyDescent="0.3">
      <c r="GY634" s="12" t="s">
        <v>163</v>
      </c>
      <c r="GZ634" s="14" t="s">
        <v>26</v>
      </c>
      <c r="HA634" s="12" t="s">
        <v>424</v>
      </c>
      <c r="HB634" s="131" t="str">
        <f t="shared" si="66"/>
        <v>Triad Bracket 12mm</v>
      </c>
    </row>
    <row r="635" spans="207:210" x14ac:dyDescent="0.3">
      <c r="GY635" s="12" t="s">
        <v>163</v>
      </c>
      <c r="GZ635" s="14" t="s">
        <v>26</v>
      </c>
      <c r="HA635" s="12" t="s">
        <v>418</v>
      </c>
      <c r="HB635" s="131" t="str">
        <f t="shared" si="66"/>
        <v>Vibraband w/Triad 12mm</v>
      </c>
    </row>
    <row r="636" spans="207:210" x14ac:dyDescent="0.3">
      <c r="GY636" s="12" t="s">
        <v>150</v>
      </c>
      <c r="GZ636" s="14" t="s">
        <v>26</v>
      </c>
      <c r="HA636" s="12" t="s">
        <v>413</v>
      </c>
      <c r="HB636" s="131" t="str">
        <f t="shared" si="66"/>
        <v>No Mounting Bracket</v>
      </c>
    </row>
    <row r="637" spans="207:210" x14ac:dyDescent="0.3">
      <c r="GY637" s="12" t="s">
        <v>150</v>
      </c>
      <c r="GZ637" s="14" t="s">
        <v>26</v>
      </c>
      <c r="HA637" s="12" t="s">
        <v>419</v>
      </c>
      <c r="HB637" s="131" t="str">
        <f t="shared" si="66"/>
        <v>Ludwig Classic 9.5mm</v>
      </c>
    </row>
    <row r="638" spans="207:210" x14ac:dyDescent="0.3">
      <c r="GY638" s="12" t="s">
        <v>150</v>
      </c>
      <c r="GZ638" s="14" t="s">
        <v>26</v>
      </c>
      <c r="HA638" s="12" t="s">
        <v>417</v>
      </c>
      <c r="HB638" s="131" t="str">
        <f t="shared" si="66"/>
        <v>Vibraband w/Ludwig 9.5mm</v>
      </c>
    </row>
    <row r="639" spans="207:210" x14ac:dyDescent="0.3">
      <c r="GY639" s="12" t="s">
        <v>150</v>
      </c>
      <c r="GZ639" s="14" t="s">
        <v>26</v>
      </c>
      <c r="HA639" s="12" t="s">
        <v>424</v>
      </c>
      <c r="HB639" s="131" t="str">
        <f t="shared" si="66"/>
        <v>Triad Bracket 12mm</v>
      </c>
    </row>
    <row r="640" spans="207:210" x14ac:dyDescent="0.3">
      <c r="GY640" s="12" t="s">
        <v>150</v>
      </c>
      <c r="GZ640" s="14" t="s">
        <v>26</v>
      </c>
      <c r="HA640" s="12" t="s">
        <v>418</v>
      </c>
      <c r="HB640" s="131" t="str">
        <f t="shared" si="66"/>
        <v>Vibraband w/Triad 12mm</v>
      </c>
    </row>
    <row r="641" spans="207:210" x14ac:dyDescent="0.3">
      <c r="GY641" s="12" t="s">
        <v>169</v>
      </c>
      <c r="GZ641" s="14" t="s">
        <v>26</v>
      </c>
      <c r="HA641" s="12" t="s">
        <v>413</v>
      </c>
      <c r="HB641" s="131" t="str">
        <f t="shared" si="66"/>
        <v>No Mounting Bracket</v>
      </c>
    </row>
    <row r="642" spans="207:210" x14ac:dyDescent="0.3">
      <c r="GY642" s="12" t="s">
        <v>169</v>
      </c>
      <c r="GZ642" s="14" t="s">
        <v>26</v>
      </c>
      <c r="HA642" s="12" t="s">
        <v>419</v>
      </c>
      <c r="HB642" s="131" t="str">
        <f t="shared" si="66"/>
        <v>Ludwig Classic 9.5mm</v>
      </c>
    </row>
    <row r="643" spans="207:210" x14ac:dyDescent="0.3">
      <c r="GY643" s="12" t="s">
        <v>169</v>
      </c>
      <c r="GZ643" s="14" t="s">
        <v>26</v>
      </c>
      <c r="HA643" s="12" t="s">
        <v>417</v>
      </c>
      <c r="HB643" s="131" t="str">
        <f t="shared" si="66"/>
        <v>Vibraband w/Ludwig 9.5mm</v>
      </c>
    </row>
    <row r="644" spans="207:210" x14ac:dyDescent="0.3">
      <c r="GY644" s="12" t="s">
        <v>169</v>
      </c>
      <c r="GZ644" s="14" t="s">
        <v>26</v>
      </c>
      <c r="HA644" s="12" t="s">
        <v>424</v>
      </c>
      <c r="HB644" s="131" t="str">
        <f t="shared" si="66"/>
        <v>Triad Bracket 12mm</v>
      </c>
    </row>
    <row r="645" spans="207:210" x14ac:dyDescent="0.3">
      <c r="GY645" s="12" t="s">
        <v>169</v>
      </c>
      <c r="GZ645" s="14" t="s">
        <v>26</v>
      </c>
      <c r="HA645" s="12" t="s">
        <v>418</v>
      </c>
      <c r="HB645" s="131" t="str">
        <f t="shared" si="66"/>
        <v>Vibraband w/Triad 12mm</v>
      </c>
    </row>
    <row r="646" spans="207:210" x14ac:dyDescent="0.3">
      <c r="GY646" s="12" t="s">
        <v>178</v>
      </c>
      <c r="GZ646" s="14" t="s">
        <v>26</v>
      </c>
      <c r="HA646" s="12" t="s">
        <v>413</v>
      </c>
      <c r="HB646" s="131" t="str">
        <f t="shared" si="66"/>
        <v>No Mounting Bracket</v>
      </c>
    </row>
    <row r="647" spans="207:210" x14ac:dyDescent="0.3">
      <c r="GY647" s="12" t="s">
        <v>178</v>
      </c>
      <c r="GZ647" s="14" t="s">
        <v>26</v>
      </c>
      <c r="HA647" s="12" t="s">
        <v>419</v>
      </c>
      <c r="HB647" s="131" t="str">
        <f t="shared" si="66"/>
        <v>Ludwig Classic 9.5mm</v>
      </c>
    </row>
    <row r="648" spans="207:210" x14ac:dyDescent="0.3">
      <c r="GY648" s="12" t="s">
        <v>178</v>
      </c>
      <c r="GZ648" s="14" t="s">
        <v>26</v>
      </c>
      <c r="HA648" s="12" t="s">
        <v>424</v>
      </c>
      <c r="HB648" s="131" t="str">
        <f t="shared" si="66"/>
        <v>Triad Bracket 12mm</v>
      </c>
    </row>
    <row r="649" spans="207:210" x14ac:dyDescent="0.3">
      <c r="GY649" s="12" t="s">
        <v>175</v>
      </c>
      <c r="GZ649" s="14" t="s">
        <v>26</v>
      </c>
      <c r="HA649" s="12" t="s">
        <v>413</v>
      </c>
      <c r="HB649" s="131" t="str">
        <f t="shared" si="66"/>
        <v>No Mounting Bracket</v>
      </c>
    </row>
    <row r="650" spans="207:210" x14ac:dyDescent="0.3">
      <c r="GY650" s="12" t="s">
        <v>175</v>
      </c>
      <c r="GZ650" s="14" t="s">
        <v>26</v>
      </c>
      <c r="HA650" s="12" t="s">
        <v>419</v>
      </c>
      <c r="HB650" s="131" t="str">
        <f t="shared" ref="HB650:HB713" si="67">INDEX($GV$3:$GV$12,MATCH(HA650,$GU$3:$GU$12,0))</f>
        <v>Ludwig Classic 9.5mm</v>
      </c>
    </row>
    <row r="651" spans="207:210" x14ac:dyDescent="0.3">
      <c r="GY651" s="12" t="s">
        <v>175</v>
      </c>
      <c r="GZ651" s="14" t="s">
        <v>26</v>
      </c>
      <c r="HA651" s="12" t="s">
        <v>417</v>
      </c>
      <c r="HB651" s="131" t="str">
        <f t="shared" si="67"/>
        <v>Vibraband w/Ludwig 9.5mm</v>
      </c>
    </row>
    <row r="652" spans="207:210" x14ac:dyDescent="0.3">
      <c r="GY652" s="12" t="s">
        <v>175</v>
      </c>
      <c r="GZ652" s="14" t="s">
        <v>26</v>
      </c>
      <c r="HA652" s="12" t="s">
        <v>424</v>
      </c>
      <c r="HB652" s="131" t="str">
        <f t="shared" si="67"/>
        <v>Triad Bracket 12mm</v>
      </c>
    </row>
    <row r="653" spans="207:210" x14ac:dyDescent="0.3">
      <c r="GY653" s="12" t="s">
        <v>175</v>
      </c>
      <c r="GZ653" s="14" t="s">
        <v>26</v>
      </c>
      <c r="HA653" s="12" t="s">
        <v>418</v>
      </c>
      <c r="HB653" s="131" t="str">
        <f t="shared" si="67"/>
        <v>Vibraband w/Triad 12mm</v>
      </c>
    </row>
    <row r="654" spans="207:210" x14ac:dyDescent="0.3">
      <c r="GY654" s="12" t="s">
        <v>179</v>
      </c>
      <c r="GZ654" s="14" t="s">
        <v>26</v>
      </c>
      <c r="HA654" s="12" t="s">
        <v>413</v>
      </c>
      <c r="HB654" s="131" t="str">
        <f t="shared" si="67"/>
        <v>No Mounting Bracket</v>
      </c>
    </row>
    <row r="655" spans="207:210" x14ac:dyDescent="0.3">
      <c r="GY655" s="12" t="s">
        <v>179</v>
      </c>
      <c r="GZ655" s="14" t="s">
        <v>26</v>
      </c>
      <c r="HA655" s="12" t="s">
        <v>419</v>
      </c>
      <c r="HB655" s="131" t="str">
        <f t="shared" si="67"/>
        <v>Ludwig Classic 9.5mm</v>
      </c>
    </row>
    <row r="656" spans="207:210" x14ac:dyDescent="0.3">
      <c r="GY656" s="12" t="s">
        <v>179</v>
      </c>
      <c r="GZ656" s="14" t="s">
        <v>26</v>
      </c>
      <c r="HA656" s="12" t="s">
        <v>424</v>
      </c>
      <c r="HB656" s="131" t="str">
        <f t="shared" si="67"/>
        <v>Triad Bracket 12mm</v>
      </c>
    </row>
    <row r="657" spans="207:210" x14ac:dyDescent="0.3">
      <c r="GY657" s="12" t="s">
        <v>181</v>
      </c>
      <c r="GZ657" s="14" t="s">
        <v>26</v>
      </c>
      <c r="HA657" s="12" t="s">
        <v>413</v>
      </c>
      <c r="HB657" s="131" t="str">
        <f t="shared" si="67"/>
        <v>No Mounting Bracket</v>
      </c>
    </row>
    <row r="658" spans="207:210" x14ac:dyDescent="0.3">
      <c r="GY658" s="12" t="s">
        <v>181</v>
      </c>
      <c r="GZ658" s="14" t="s">
        <v>26</v>
      </c>
      <c r="HA658" s="12" t="s">
        <v>419</v>
      </c>
      <c r="HB658" s="131" t="str">
        <f t="shared" si="67"/>
        <v>Ludwig Classic 9.5mm</v>
      </c>
    </row>
    <row r="659" spans="207:210" x14ac:dyDescent="0.3">
      <c r="GY659" s="12" t="s">
        <v>181</v>
      </c>
      <c r="GZ659" s="14" t="s">
        <v>26</v>
      </c>
      <c r="HA659" s="12" t="s">
        <v>417</v>
      </c>
      <c r="HB659" s="131" t="str">
        <f t="shared" si="67"/>
        <v>Vibraband w/Ludwig 9.5mm</v>
      </c>
    </row>
    <row r="660" spans="207:210" x14ac:dyDescent="0.3">
      <c r="GY660" s="12" t="s">
        <v>181</v>
      </c>
      <c r="GZ660" s="14" t="s">
        <v>26</v>
      </c>
      <c r="HA660" s="12" t="s">
        <v>424</v>
      </c>
      <c r="HB660" s="131" t="str">
        <f t="shared" si="67"/>
        <v>Triad Bracket 12mm</v>
      </c>
    </row>
    <row r="661" spans="207:210" x14ac:dyDescent="0.3">
      <c r="GY661" s="12" t="s">
        <v>181</v>
      </c>
      <c r="GZ661" s="14" t="s">
        <v>26</v>
      </c>
      <c r="HA661" s="12" t="s">
        <v>418</v>
      </c>
      <c r="HB661" s="131" t="str">
        <f t="shared" si="67"/>
        <v>Vibraband w/Triad 12mm</v>
      </c>
    </row>
    <row r="662" spans="207:210" x14ac:dyDescent="0.3">
      <c r="GY662" s="12" t="s">
        <v>176</v>
      </c>
      <c r="GZ662" s="14" t="s">
        <v>26</v>
      </c>
      <c r="HA662" s="12" t="s">
        <v>413</v>
      </c>
      <c r="HB662" s="131" t="str">
        <f t="shared" si="67"/>
        <v>No Mounting Bracket</v>
      </c>
    </row>
    <row r="663" spans="207:210" x14ac:dyDescent="0.3">
      <c r="GY663" s="12" t="s">
        <v>176</v>
      </c>
      <c r="GZ663" s="14" t="s">
        <v>26</v>
      </c>
      <c r="HA663" s="12" t="s">
        <v>419</v>
      </c>
      <c r="HB663" s="131" t="str">
        <f t="shared" si="67"/>
        <v>Ludwig Classic 9.5mm</v>
      </c>
    </row>
    <row r="664" spans="207:210" x14ac:dyDescent="0.3">
      <c r="GY664" s="12" t="s">
        <v>176</v>
      </c>
      <c r="GZ664" s="14" t="s">
        <v>26</v>
      </c>
      <c r="HA664" s="12" t="s">
        <v>417</v>
      </c>
      <c r="HB664" s="131" t="str">
        <f t="shared" si="67"/>
        <v>Vibraband w/Ludwig 9.5mm</v>
      </c>
    </row>
    <row r="665" spans="207:210" x14ac:dyDescent="0.3">
      <c r="GY665" s="12" t="s">
        <v>176</v>
      </c>
      <c r="GZ665" s="14" t="s">
        <v>26</v>
      </c>
      <c r="HA665" s="12" t="s">
        <v>424</v>
      </c>
      <c r="HB665" s="131" t="str">
        <f t="shared" si="67"/>
        <v>Triad Bracket 12mm</v>
      </c>
    </row>
    <row r="666" spans="207:210" x14ac:dyDescent="0.3">
      <c r="GY666" s="12" t="s">
        <v>176</v>
      </c>
      <c r="GZ666" s="14" t="s">
        <v>26</v>
      </c>
      <c r="HA666" s="12" t="s">
        <v>418</v>
      </c>
      <c r="HB666" s="131" t="str">
        <f t="shared" si="67"/>
        <v>Vibraband w/Triad 12mm</v>
      </c>
    </row>
    <row r="667" spans="207:210" x14ac:dyDescent="0.3">
      <c r="GY667" s="12" t="s">
        <v>180</v>
      </c>
      <c r="GZ667" s="14" t="s">
        <v>26</v>
      </c>
      <c r="HA667" s="12" t="s">
        <v>413</v>
      </c>
      <c r="HB667" s="131" t="str">
        <f t="shared" si="67"/>
        <v>No Mounting Bracket</v>
      </c>
    </row>
    <row r="668" spans="207:210" x14ac:dyDescent="0.3">
      <c r="GY668" s="12" t="s">
        <v>180</v>
      </c>
      <c r="GZ668" s="14" t="s">
        <v>26</v>
      </c>
      <c r="HA668" s="12" t="s">
        <v>419</v>
      </c>
      <c r="HB668" s="131" t="str">
        <f t="shared" si="67"/>
        <v>Ludwig Classic 9.5mm</v>
      </c>
    </row>
    <row r="669" spans="207:210" x14ac:dyDescent="0.3">
      <c r="GY669" s="12" t="s">
        <v>180</v>
      </c>
      <c r="GZ669" s="14" t="s">
        <v>26</v>
      </c>
      <c r="HA669" s="12" t="s">
        <v>424</v>
      </c>
      <c r="HB669" s="131" t="str">
        <f t="shared" si="67"/>
        <v>Triad Bracket 12mm</v>
      </c>
    </row>
    <row r="670" spans="207:210" x14ac:dyDescent="0.3">
      <c r="GY670" s="12" t="s">
        <v>182</v>
      </c>
      <c r="GZ670" s="14" t="s">
        <v>26</v>
      </c>
      <c r="HA670" s="12" t="s">
        <v>413</v>
      </c>
      <c r="HB670" s="131" t="str">
        <f t="shared" si="67"/>
        <v>No Mounting Bracket</v>
      </c>
    </row>
    <row r="671" spans="207:210" x14ac:dyDescent="0.3">
      <c r="GY671" s="12" t="s">
        <v>182</v>
      </c>
      <c r="GZ671" s="14" t="s">
        <v>26</v>
      </c>
      <c r="HA671" s="12" t="s">
        <v>419</v>
      </c>
      <c r="HB671" s="131" t="str">
        <f t="shared" si="67"/>
        <v>Ludwig Classic 9.5mm</v>
      </c>
    </row>
    <row r="672" spans="207:210" x14ac:dyDescent="0.3">
      <c r="GY672" s="12" t="s">
        <v>182</v>
      </c>
      <c r="GZ672" s="14" t="s">
        <v>26</v>
      </c>
      <c r="HA672" s="12" t="s">
        <v>417</v>
      </c>
      <c r="HB672" s="131" t="str">
        <f t="shared" si="67"/>
        <v>Vibraband w/Ludwig 9.5mm</v>
      </c>
    </row>
    <row r="673" spans="207:210" x14ac:dyDescent="0.3">
      <c r="GY673" s="12" t="s">
        <v>182</v>
      </c>
      <c r="GZ673" s="14" t="s">
        <v>26</v>
      </c>
      <c r="HA673" s="12" t="s">
        <v>424</v>
      </c>
      <c r="HB673" s="131" t="str">
        <f t="shared" si="67"/>
        <v>Triad Bracket 12mm</v>
      </c>
    </row>
    <row r="674" spans="207:210" x14ac:dyDescent="0.3">
      <c r="GY674" s="12" t="s">
        <v>182</v>
      </c>
      <c r="GZ674" s="14" t="s">
        <v>26</v>
      </c>
      <c r="HA674" s="12" t="s">
        <v>418</v>
      </c>
      <c r="HB674" s="131" t="str">
        <f t="shared" si="67"/>
        <v>Vibraband w/Triad 12mm</v>
      </c>
    </row>
    <row r="675" spans="207:210" x14ac:dyDescent="0.3">
      <c r="GY675" s="12" t="s">
        <v>183</v>
      </c>
      <c r="GZ675" s="14" t="s">
        <v>26</v>
      </c>
      <c r="HA675" s="12" t="s">
        <v>413</v>
      </c>
      <c r="HB675" s="131" t="str">
        <f t="shared" si="67"/>
        <v>No Mounting Bracket</v>
      </c>
    </row>
    <row r="676" spans="207:210" x14ac:dyDescent="0.3">
      <c r="GY676" s="12" t="s">
        <v>183</v>
      </c>
      <c r="GZ676" s="14" t="s">
        <v>26</v>
      </c>
      <c r="HA676" s="12" t="s">
        <v>419</v>
      </c>
      <c r="HB676" s="131" t="str">
        <f t="shared" si="67"/>
        <v>Ludwig Classic 9.5mm</v>
      </c>
    </row>
    <row r="677" spans="207:210" x14ac:dyDescent="0.3">
      <c r="GY677" s="12" t="s">
        <v>183</v>
      </c>
      <c r="GZ677" s="14" t="s">
        <v>26</v>
      </c>
      <c r="HA677" s="12" t="s">
        <v>417</v>
      </c>
      <c r="HB677" s="131" t="str">
        <f t="shared" si="67"/>
        <v>Vibraband w/Ludwig 9.5mm</v>
      </c>
    </row>
    <row r="678" spans="207:210" x14ac:dyDescent="0.3">
      <c r="GY678" s="12" t="s">
        <v>183</v>
      </c>
      <c r="GZ678" s="14" t="s">
        <v>26</v>
      </c>
      <c r="HA678" s="12" t="s">
        <v>424</v>
      </c>
      <c r="HB678" s="131" t="str">
        <f t="shared" si="67"/>
        <v>Triad Bracket 12mm</v>
      </c>
    </row>
    <row r="679" spans="207:210" x14ac:dyDescent="0.3">
      <c r="GY679" s="12" t="s">
        <v>183</v>
      </c>
      <c r="GZ679" s="14" t="s">
        <v>26</v>
      </c>
      <c r="HA679" s="12" t="s">
        <v>418</v>
      </c>
      <c r="HB679" s="131" t="str">
        <f t="shared" si="67"/>
        <v>Vibraband w/Triad 12mm</v>
      </c>
    </row>
    <row r="680" spans="207:210" x14ac:dyDescent="0.3">
      <c r="GY680" s="12" t="s">
        <v>184</v>
      </c>
      <c r="GZ680" s="14" t="s">
        <v>26</v>
      </c>
      <c r="HA680" s="12" t="s">
        <v>413</v>
      </c>
      <c r="HB680" s="131" t="str">
        <f t="shared" si="67"/>
        <v>No Mounting Bracket</v>
      </c>
    </row>
    <row r="681" spans="207:210" x14ac:dyDescent="0.3">
      <c r="GY681" s="12" t="s">
        <v>184</v>
      </c>
      <c r="GZ681" s="14" t="s">
        <v>26</v>
      </c>
      <c r="HA681" s="12" t="s">
        <v>419</v>
      </c>
      <c r="HB681" s="131" t="str">
        <f t="shared" si="67"/>
        <v>Ludwig Classic 9.5mm</v>
      </c>
    </row>
    <row r="682" spans="207:210" x14ac:dyDescent="0.3">
      <c r="GY682" s="12" t="s">
        <v>184</v>
      </c>
      <c r="GZ682" s="14" t="s">
        <v>26</v>
      </c>
      <c r="HA682" s="12" t="s">
        <v>417</v>
      </c>
      <c r="HB682" s="131" t="str">
        <f t="shared" si="67"/>
        <v>Vibraband w/Ludwig 9.5mm</v>
      </c>
    </row>
    <row r="683" spans="207:210" x14ac:dyDescent="0.3">
      <c r="GY683" s="12" t="s">
        <v>184</v>
      </c>
      <c r="GZ683" s="14" t="s">
        <v>26</v>
      </c>
      <c r="HA683" s="12" t="s">
        <v>424</v>
      </c>
      <c r="HB683" s="131" t="str">
        <f t="shared" si="67"/>
        <v>Triad Bracket 12mm</v>
      </c>
    </row>
    <row r="684" spans="207:210" x14ac:dyDescent="0.3">
      <c r="GY684" s="12" t="s">
        <v>184</v>
      </c>
      <c r="GZ684" s="14" t="s">
        <v>26</v>
      </c>
      <c r="HA684" s="12" t="s">
        <v>418</v>
      </c>
      <c r="HB684" s="131" t="str">
        <f t="shared" si="67"/>
        <v>Vibraband w/Triad 12mm</v>
      </c>
    </row>
    <row r="685" spans="207:210" x14ac:dyDescent="0.3">
      <c r="GY685" s="12" t="s">
        <v>205</v>
      </c>
      <c r="GZ685" s="14" t="s">
        <v>26</v>
      </c>
      <c r="HA685" s="12" t="s">
        <v>413</v>
      </c>
      <c r="HB685" s="131" t="str">
        <f t="shared" si="67"/>
        <v>No Mounting Bracket</v>
      </c>
    </row>
    <row r="686" spans="207:210" x14ac:dyDescent="0.3">
      <c r="GY686" s="12" t="s">
        <v>205</v>
      </c>
      <c r="GZ686" s="14" t="s">
        <v>26</v>
      </c>
      <c r="HA686" s="12" t="s">
        <v>419</v>
      </c>
      <c r="HB686" s="131" t="str">
        <f t="shared" si="67"/>
        <v>Ludwig Classic 9.5mm</v>
      </c>
    </row>
    <row r="687" spans="207:210" x14ac:dyDescent="0.3">
      <c r="GY687" s="12" t="s">
        <v>205</v>
      </c>
      <c r="GZ687" s="14" t="s">
        <v>26</v>
      </c>
      <c r="HA687" s="12" t="s">
        <v>424</v>
      </c>
      <c r="HB687" s="131" t="str">
        <f t="shared" si="67"/>
        <v>Triad Bracket 12mm</v>
      </c>
    </row>
    <row r="688" spans="207:210" x14ac:dyDescent="0.3">
      <c r="GY688" s="12" t="s">
        <v>137</v>
      </c>
      <c r="GZ688" s="14" t="s">
        <v>26</v>
      </c>
      <c r="HA688" s="12" t="s">
        <v>413</v>
      </c>
      <c r="HB688" s="131" t="str">
        <f t="shared" si="67"/>
        <v>No Mounting Bracket</v>
      </c>
    </row>
    <row r="689" spans="207:210" x14ac:dyDescent="0.3">
      <c r="GY689" s="12" t="s">
        <v>137</v>
      </c>
      <c r="GZ689" s="14" t="s">
        <v>26</v>
      </c>
      <c r="HA689" s="12" t="s">
        <v>419</v>
      </c>
      <c r="HB689" s="131" t="str">
        <f t="shared" si="67"/>
        <v>Ludwig Classic 9.5mm</v>
      </c>
    </row>
    <row r="690" spans="207:210" x14ac:dyDescent="0.3">
      <c r="GY690" s="12" t="s">
        <v>137</v>
      </c>
      <c r="GZ690" s="14" t="s">
        <v>26</v>
      </c>
      <c r="HA690" s="12" t="s">
        <v>417</v>
      </c>
      <c r="HB690" s="131" t="str">
        <f t="shared" si="67"/>
        <v>Vibraband w/Ludwig 9.5mm</v>
      </c>
    </row>
    <row r="691" spans="207:210" x14ac:dyDescent="0.3">
      <c r="GY691" s="12" t="s">
        <v>137</v>
      </c>
      <c r="GZ691" s="14" t="s">
        <v>26</v>
      </c>
      <c r="HA691" s="12" t="s">
        <v>424</v>
      </c>
      <c r="HB691" s="131" t="str">
        <f t="shared" si="67"/>
        <v>Triad Bracket 12mm</v>
      </c>
    </row>
    <row r="692" spans="207:210" x14ac:dyDescent="0.3">
      <c r="GY692" s="12" t="s">
        <v>137</v>
      </c>
      <c r="GZ692" s="14" t="s">
        <v>26</v>
      </c>
      <c r="HA692" s="12" t="s">
        <v>418</v>
      </c>
      <c r="HB692" s="131" t="str">
        <f t="shared" si="67"/>
        <v>Vibraband w/Triad 12mm</v>
      </c>
    </row>
    <row r="693" spans="207:210" x14ac:dyDescent="0.3">
      <c r="GY693" s="12" t="s">
        <v>134</v>
      </c>
      <c r="GZ693" s="14" t="s">
        <v>26</v>
      </c>
      <c r="HA693" s="12" t="s">
        <v>413</v>
      </c>
      <c r="HB693" s="131" t="str">
        <f t="shared" si="67"/>
        <v>No Mounting Bracket</v>
      </c>
    </row>
    <row r="694" spans="207:210" x14ac:dyDescent="0.3">
      <c r="GY694" s="12" t="s">
        <v>134</v>
      </c>
      <c r="GZ694" s="14" t="s">
        <v>26</v>
      </c>
      <c r="HA694" s="12" t="s">
        <v>419</v>
      </c>
      <c r="HB694" s="131" t="str">
        <f t="shared" si="67"/>
        <v>Ludwig Classic 9.5mm</v>
      </c>
    </row>
    <row r="695" spans="207:210" x14ac:dyDescent="0.3">
      <c r="GY695" s="12" t="s">
        <v>134</v>
      </c>
      <c r="GZ695" s="14" t="s">
        <v>26</v>
      </c>
      <c r="HA695" s="12" t="s">
        <v>417</v>
      </c>
      <c r="HB695" s="131" t="str">
        <f t="shared" si="67"/>
        <v>Vibraband w/Ludwig 9.5mm</v>
      </c>
    </row>
    <row r="696" spans="207:210" x14ac:dyDescent="0.3">
      <c r="GY696" s="12" t="s">
        <v>134</v>
      </c>
      <c r="GZ696" s="14" t="s">
        <v>26</v>
      </c>
      <c r="HA696" s="12" t="s">
        <v>424</v>
      </c>
      <c r="HB696" s="131" t="str">
        <f t="shared" si="67"/>
        <v>Triad Bracket 12mm</v>
      </c>
    </row>
    <row r="697" spans="207:210" x14ac:dyDescent="0.3">
      <c r="GY697" s="12" t="s">
        <v>134</v>
      </c>
      <c r="GZ697" s="14" t="s">
        <v>26</v>
      </c>
      <c r="HA697" s="12" t="s">
        <v>418</v>
      </c>
      <c r="HB697" s="131" t="str">
        <f t="shared" si="67"/>
        <v>Vibraband w/Triad 12mm</v>
      </c>
    </row>
    <row r="698" spans="207:210" x14ac:dyDescent="0.3">
      <c r="GY698" s="12" t="s">
        <v>139</v>
      </c>
      <c r="GZ698" s="14" t="s">
        <v>26</v>
      </c>
      <c r="HA698" s="12" t="s">
        <v>413</v>
      </c>
      <c r="HB698" s="131" t="str">
        <f t="shared" si="67"/>
        <v>No Mounting Bracket</v>
      </c>
    </row>
    <row r="699" spans="207:210" x14ac:dyDescent="0.3">
      <c r="GY699" s="12" t="s">
        <v>139</v>
      </c>
      <c r="GZ699" s="14" t="s">
        <v>26</v>
      </c>
      <c r="HA699" s="12" t="s">
        <v>419</v>
      </c>
      <c r="HB699" s="131" t="str">
        <f t="shared" si="67"/>
        <v>Ludwig Classic 9.5mm</v>
      </c>
    </row>
    <row r="700" spans="207:210" x14ac:dyDescent="0.3">
      <c r="GY700" s="12" t="s">
        <v>139</v>
      </c>
      <c r="GZ700" s="14" t="s">
        <v>26</v>
      </c>
      <c r="HA700" s="12" t="s">
        <v>417</v>
      </c>
      <c r="HB700" s="131" t="str">
        <f t="shared" si="67"/>
        <v>Vibraband w/Ludwig 9.5mm</v>
      </c>
    </row>
    <row r="701" spans="207:210" x14ac:dyDescent="0.3">
      <c r="GY701" s="12" t="s">
        <v>139</v>
      </c>
      <c r="GZ701" s="14" t="s">
        <v>26</v>
      </c>
      <c r="HA701" s="12" t="s">
        <v>424</v>
      </c>
      <c r="HB701" s="131" t="str">
        <f t="shared" si="67"/>
        <v>Triad Bracket 12mm</v>
      </c>
    </row>
    <row r="702" spans="207:210" x14ac:dyDescent="0.3">
      <c r="GY702" s="12" t="s">
        <v>139</v>
      </c>
      <c r="GZ702" s="14" t="s">
        <v>26</v>
      </c>
      <c r="HA702" s="12" t="s">
        <v>418</v>
      </c>
      <c r="HB702" s="131" t="str">
        <f t="shared" si="67"/>
        <v>Vibraband w/Triad 12mm</v>
      </c>
    </row>
    <row r="703" spans="207:210" x14ac:dyDescent="0.3">
      <c r="GY703" s="12" t="s">
        <v>141</v>
      </c>
      <c r="GZ703" s="14" t="s">
        <v>26</v>
      </c>
      <c r="HA703" s="12" t="s">
        <v>413</v>
      </c>
      <c r="HB703" s="131" t="str">
        <f t="shared" si="67"/>
        <v>No Mounting Bracket</v>
      </c>
    </row>
    <row r="704" spans="207:210" x14ac:dyDescent="0.3">
      <c r="GY704" s="12" t="s">
        <v>141</v>
      </c>
      <c r="GZ704" s="14" t="s">
        <v>26</v>
      </c>
      <c r="HA704" s="12" t="s">
        <v>419</v>
      </c>
      <c r="HB704" s="131" t="str">
        <f t="shared" si="67"/>
        <v>Ludwig Classic 9.5mm</v>
      </c>
    </row>
    <row r="705" spans="207:210" x14ac:dyDescent="0.3">
      <c r="GY705" s="12" t="s">
        <v>141</v>
      </c>
      <c r="GZ705" s="14" t="s">
        <v>26</v>
      </c>
      <c r="HA705" s="12" t="s">
        <v>417</v>
      </c>
      <c r="HB705" s="131" t="str">
        <f t="shared" si="67"/>
        <v>Vibraband w/Ludwig 9.5mm</v>
      </c>
    </row>
    <row r="706" spans="207:210" x14ac:dyDescent="0.3">
      <c r="GY706" s="12" t="s">
        <v>141</v>
      </c>
      <c r="GZ706" s="14" t="s">
        <v>26</v>
      </c>
      <c r="HA706" s="12" t="s">
        <v>424</v>
      </c>
      <c r="HB706" s="131" t="str">
        <f t="shared" si="67"/>
        <v>Triad Bracket 12mm</v>
      </c>
    </row>
    <row r="707" spans="207:210" x14ac:dyDescent="0.3">
      <c r="GY707" s="12" t="s">
        <v>141</v>
      </c>
      <c r="GZ707" s="14" t="s">
        <v>26</v>
      </c>
      <c r="HA707" s="12" t="s">
        <v>418</v>
      </c>
      <c r="HB707" s="131" t="str">
        <f t="shared" si="67"/>
        <v>Vibraband w/Triad 12mm</v>
      </c>
    </row>
    <row r="708" spans="207:210" x14ac:dyDescent="0.3">
      <c r="GY708" s="12" t="s">
        <v>133</v>
      </c>
      <c r="GZ708" s="14" t="s">
        <v>26</v>
      </c>
      <c r="HA708" s="12" t="s">
        <v>413</v>
      </c>
      <c r="HB708" s="131" t="str">
        <f t="shared" si="67"/>
        <v>No Mounting Bracket</v>
      </c>
    </row>
    <row r="709" spans="207:210" x14ac:dyDescent="0.3">
      <c r="GY709" s="12" t="s">
        <v>133</v>
      </c>
      <c r="GZ709" s="14" t="s">
        <v>26</v>
      </c>
      <c r="HA709" s="12" t="s">
        <v>419</v>
      </c>
      <c r="HB709" s="131" t="str">
        <f t="shared" si="67"/>
        <v>Ludwig Classic 9.5mm</v>
      </c>
    </row>
    <row r="710" spans="207:210" x14ac:dyDescent="0.3">
      <c r="GY710" s="12" t="s">
        <v>133</v>
      </c>
      <c r="GZ710" s="14" t="s">
        <v>26</v>
      </c>
      <c r="HA710" s="12" t="s">
        <v>424</v>
      </c>
      <c r="HB710" s="131" t="str">
        <f t="shared" si="67"/>
        <v>Triad Bracket 12mm</v>
      </c>
    </row>
    <row r="711" spans="207:210" x14ac:dyDescent="0.3">
      <c r="GY711" s="12" t="s">
        <v>136</v>
      </c>
      <c r="GZ711" s="14" t="s">
        <v>26</v>
      </c>
      <c r="HA711" s="12" t="s">
        <v>413</v>
      </c>
      <c r="HB711" s="131" t="str">
        <f t="shared" si="67"/>
        <v>No Mounting Bracket</v>
      </c>
    </row>
    <row r="712" spans="207:210" x14ac:dyDescent="0.3">
      <c r="GY712" s="12" t="s">
        <v>136</v>
      </c>
      <c r="GZ712" s="14" t="s">
        <v>26</v>
      </c>
      <c r="HA712" s="12" t="s">
        <v>419</v>
      </c>
      <c r="HB712" s="131" t="str">
        <f t="shared" si="67"/>
        <v>Ludwig Classic 9.5mm</v>
      </c>
    </row>
    <row r="713" spans="207:210" x14ac:dyDescent="0.3">
      <c r="GY713" s="12" t="s">
        <v>136</v>
      </c>
      <c r="GZ713" s="14" t="s">
        <v>26</v>
      </c>
      <c r="HA713" s="12" t="s">
        <v>417</v>
      </c>
      <c r="HB713" s="131" t="str">
        <f t="shared" si="67"/>
        <v>Vibraband w/Ludwig 9.5mm</v>
      </c>
    </row>
    <row r="714" spans="207:210" x14ac:dyDescent="0.3">
      <c r="GY714" s="12" t="s">
        <v>136</v>
      </c>
      <c r="GZ714" s="14" t="s">
        <v>26</v>
      </c>
      <c r="HA714" s="12" t="s">
        <v>424</v>
      </c>
      <c r="HB714" s="131" t="str">
        <f t="shared" ref="HB714:HB735" si="68">INDEX($GV$3:$GV$12,MATCH(HA714,$GU$3:$GU$12,0))</f>
        <v>Triad Bracket 12mm</v>
      </c>
    </row>
    <row r="715" spans="207:210" x14ac:dyDescent="0.3">
      <c r="GY715" s="12" t="s">
        <v>136</v>
      </c>
      <c r="GZ715" s="14" t="s">
        <v>26</v>
      </c>
      <c r="HA715" s="12" t="s">
        <v>418</v>
      </c>
      <c r="HB715" s="131" t="str">
        <f t="shared" si="68"/>
        <v>Vibraband w/Triad 12mm</v>
      </c>
    </row>
    <row r="716" spans="207:210" x14ac:dyDescent="0.3">
      <c r="GY716" s="12" t="s">
        <v>140</v>
      </c>
      <c r="GZ716" s="14" t="s">
        <v>26</v>
      </c>
      <c r="HA716" s="12" t="s">
        <v>413</v>
      </c>
      <c r="HB716" s="131" t="str">
        <f t="shared" si="68"/>
        <v>No Mounting Bracket</v>
      </c>
    </row>
    <row r="717" spans="207:210" x14ac:dyDescent="0.3">
      <c r="GY717" s="12" t="s">
        <v>140</v>
      </c>
      <c r="GZ717" s="14" t="s">
        <v>26</v>
      </c>
      <c r="HA717" s="12" t="s">
        <v>419</v>
      </c>
      <c r="HB717" s="131" t="str">
        <f t="shared" si="68"/>
        <v>Ludwig Classic 9.5mm</v>
      </c>
    </row>
    <row r="718" spans="207:210" x14ac:dyDescent="0.3">
      <c r="GY718" s="12" t="s">
        <v>140</v>
      </c>
      <c r="GZ718" s="14" t="s">
        <v>26</v>
      </c>
      <c r="HA718" s="12" t="s">
        <v>417</v>
      </c>
      <c r="HB718" s="131" t="str">
        <f t="shared" si="68"/>
        <v>Vibraband w/Ludwig 9.5mm</v>
      </c>
    </row>
    <row r="719" spans="207:210" x14ac:dyDescent="0.3">
      <c r="GY719" s="12" t="s">
        <v>140</v>
      </c>
      <c r="GZ719" s="14" t="s">
        <v>26</v>
      </c>
      <c r="HA719" s="12" t="s">
        <v>424</v>
      </c>
      <c r="HB719" s="131" t="str">
        <f t="shared" si="68"/>
        <v>Triad Bracket 12mm</v>
      </c>
    </row>
    <row r="720" spans="207:210" x14ac:dyDescent="0.3">
      <c r="GY720" s="12" t="s">
        <v>140</v>
      </c>
      <c r="GZ720" s="14" t="s">
        <v>26</v>
      </c>
      <c r="HA720" s="12" t="s">
        <v>418</v>
      </c>
      <c r="HB720" s="131" t="str">
        <f t="shared" si="68"/>
        <v>Vibraband w/Triad 12mm</v>
      </c>
    </row>
    <row r="721" spans="207:210" x14ac:dyDescent="0.3">
      <c r="GY721" s="12" t="s">
        <v>143</v>
      </c>
      <c r="GZ721" s="14" t="s">
        <v>26</v>
      </c>
      <c r="HA721" s="12" t="s">
        <v>413</v>
      </c>
      <c r="HB721" s="131" t="str">
        <f t="shared" si="68"/>
        <v>No Mounting Bracket</v>
      </c>
    </row>
    <row r="722" spans="207:210" x14ac:dyDescent="0.3">
      <c r="GY722" s="12" t="s">
        <v>143</v>
      </c>
      <c r="GZ722" s="14" t="s">
        <v>26</v>
      </c>
      <c r="HA722" s="12" t="s">
        <v>419</v>
      </c>
      <c r="HB722" s="131" t="str">
        <f t="shared" si="68"/>
        <v>Ludwig Classic 9.5mm</v>
      </c>
    </row>
    <row r="723" spans="207:210" x14ac:dyDescent="0.3">
      <c r="GY723" s="12" t="s">
        <v>143</v>
      </c>
      <c r="GZ723" s="14" t="s">
        <v>26</v>
      </c>
      <c r="HA723" s="12" t="s">
        <v>417</v>
      </c>
      <c r="HB723" s="131" t="str">
        <f t="shared" si="68"/>
        <v>Vibraband w/Ludwig 9.5mm</v>
      </c>
    </row>
    <row r="724" spans="207:210" x14ac:dyDescent="0.3">
      <c r="GY724" s="12" t="s">
        <v>143</v>
      </c>
      <c r="GZ724" s="14" t="s">
        <v>26</v>
      </c>
      <c r="HA724" s="12" t="s">
        <v>424</v>
      </c>
      <c r="HB724" s="131" t="str">
        <f t="shared" si="68"/>
        <v>Triad Bracket 12mm</v>
      </c>
    </row>
    <row r="725" spans="207:210" x14ac:dyDescent="0.3">
      <c r="GY725" s="12" t="s">
        <v>143</v>
      </c>
      <c r="GZ725" s="14" t="s">
        <v>26</v>
      </c>
      <c r="HA725" s="12" t="s">
        <v>418</v>
      </c>
      <c r="HB725" s="131" t="str">
        <f t="shared" si="68"/>
        <v>Vibraband w/Triad 12mm</v>
      </c>
    </row>
    <row r="726" spans="207:210" x14ac:dyDescent="0.3">
      <c r="GY726" s="12" t="s">
        <v>147</v>
      </c>
      <c r="GZ726" s="14" t="s">
        <v>26</v>
      </c>
      <c r="HA726" s="12" t="s">
        <v>413</v>
      </c>
      <c r="HB726" s="131" t="str">
        <f t="shared" si="68"/>
        <v>No Mounting Bracket</v>
      </c>
    </row>
    <row r="727" spans="207:210" x14ac:dyDescent="0.3">
      <c r="GY727" s="12" t="s">
        <v>147</v>
      </c>
      <c r="GZ727" s="14" t="s">
        <v>26</v>
      </c>
      <c r="HA727" s="12" t="s">
        <v>419</v>
      </c>
      <c r="HB727" s="131" t="str">
        <f t="shared" si="68"/>
        <v>Ludwig Classic 9.5mm</v>
      </c>
    </row>
    <row r="728" spans="207:210" x14ac:dyDescent="0.3">
      <c r="GY728" s="12" t="s">
        <v>147</v>
      </c>
      <c r="GZ728" s="14" t="s">
        <v>26</v>
      </c>
      <c r="HA728" s="12" t="s">
        <v>417</v>
      </c>
      <c r="HB728" s="131" t="str">
        <f t="shared" si="68"/>
        <v>Vibraband w/Ludwig 9.5mm</v>
      </c>
    </row>
    <row r="729" spans="207:210" x14ac:dyDescent="0.3">
      <c r="GY729" s="12" t="s">
        <v>147</v>
      </c>
      <c r="GZ729" s="14" t="s">
        <v>26</v>
      </c>
      <c r="HA729" s="12" t="s">
        <v>424</v>
      </c>
      <c r="HB729" s="131" t="str">
        <f t="shared" si="68"/>
        <v>Triad Bracket 12mm</v>
      </c>
    </row>
    <row r="730" spans="207:210" x14ac:dyDescent="0.3">
      <c r="GY730" s="12" t="s">
        <v>147</v>
      </c>
      <c r="GZ730" s="14" t="s">
        <v>26</v>
      </c>
      <c r="HA730" s="12" t="s">
        <v>418</v>
      </c>
      <c r="HB730" s="131" t="str">
        <f t="shared" si="68"/>
        <v>Vibraband w/Triad 12mm</v>
      </c>
    </row>
    <row r="731" spans="207:210" x14ac:dyDescent="0.3">
      <c r="GY731" s="12" t="s">
        <v>151</v>
      </c>
      <c r="GZ731" s="14" t="s">
        <v>26</v>
      </c>
      <c r="HA731" s="12" t="s">
        <v>413</v>
      </c>
      <c r="HB731" s="131" t="str">
        <f t="shared" si="68"/>
        <v>No Mounting Bracket</v>
      </c>
    </row>
    <row r="732" spans="207:210" x14ac:dyDescent="0.3">
      <c r="GY732" s="12" t="s">
        <v>151</v>
      </c>
      <c r="GZ732" s="14" t="s">
        <v>26</v>
      </c>
      <c r="HA732" s="12" t="s">
        <v>419</v>
      </c>
      <c r="HB732" s="131" t="str">
        <f t="shared" si="68"/>
        <v>Ludwig Classic 9.5mm</v>
      </c>
    </row>
    <row r="733" spans="207:210" x14ac:dyDescent="0.3">
      <c r="GY733" s="12" t="s">
        <v>151</v>
      </c>
      <c r="GZ733" s="14" t="s">
        <v>26</v>
      </c>
      <c r="HA733" s="12" t="s">
        <v>417</v>
      </c>
      <c r="HB733" s="131" t="str">
        <f t="shared" si="68"/>
        <v>Vibraband w/Ludwig 9.5mm</v>
      </c>
    </row>
    <row r="734" spans="207:210" x14ac:dyDescent="0.3">
      <c r="GY734" s="12" t="s">
        <v>151</v>
      </c>
      <c r="GZ734" s="14" t="s">
        <v>26</v>
      </c>
      <c r="HA734" s="12" t="s">
        <v>424</v>
      </c>
      <c r="HB734" s="131" t="str">
        <f t="shared" si="68"/>
        <v>Triad Bracket 12mm</v>
      </c>
    </row>
    <row r="735" spans="207:210" x14ac:dyDescent="0.3">
      <c r="GY735" s="12" t="s">
        <v>151</v>
      </c>
      <c r="GZ735" s="14" t="s">
        <v>26</v>
      </c>
      <c r="HA735" s="12" t="s">
        <v>418</v>
      </c>
      <c r="HB735" s="131" t="str">
        <f t="shared" si="68"/>
        <v>Vibraband w/Triad 12mm</v>
      </c>
    </row>
  </sheetData>
  <sheetProtection algorithmName="SHA-512" hashValue="2kGponJ7z6qED0NuMSw06MHOCaj9Q51/eUGkDNkuiACwh1bsySQQWcfZRxJk4yLs//wKwYBywsRjkwsiuGfQjg==" saltValue="OdY8aR/pNpfvF2SqNYG19g==" spinCount="100000" sheet="1" objects="1" scenarios="1"/>
  <autoFilter ref="DA13:DB33" xr:uid="{00000000-0001-0000-0000-000000000000}"/>
  <sortState xmlns:xlrd2="http://schemas.microsoft.com/office/spreadsheetml/2017/richdata2" ref="CT4:CW195">
    <sortCondition descending="1" sortBy="cellColor" ref="CU4:CU195" dxfId="32"/>
  </sortState>
  <mergeCells count="5">
    <mergeCell ref="BS2:BT2"/>
    <mergeCell ref="BW2:BX2"/>
    <mergeCell ref="CB2:CC2"/>
    <mergeCell ref="D2:E2"/>
    <mergeCell ref="BO2:BP2"/>
  </mergeCells>
  <phoneticPr fontId="35" type="noConversion"/>
  <conditionalFormatting sqref="B8">
    <cfRule type="expression" dxfId="31" priority="18">
      <formula>C4&lt;&gt;""</formula>
    </cfRule>
  </conditionalFormatting>
  <conditionalFormatting sqref="B9:B20">
    <cfRule type="expression" dxfId="30" priority="20">
      <formula>B8&lt;&gt;""</formula>
    </cfRule>
  </conditionalFormatting>
  <conditionalFormatting sqref="C3:C4">
    <cfRule type="expression" dxfId="29" priority="19">
      <formula>C2&lt;&gt;""</formula>
    </cfRule>
  </conditionalFormatting>
  <conditionalFormatting sqref="C5">
    <cfRule type="expression" dxfId="28" priority="550">
      <formula>AND($AF$2&lt;&gt;"LO",$AF$6&lt;&gt;"IOV")</formula>
    </cfRule>
  </conditionalFormatting>
  <conditionalFormatting sqref="C8:C20">
    <cfRule type="expression" dxfId="27" priority="23" stopIfTrue="1">
      <formula>AL8=1</formula>
    </cfRule>
    <cfRule type="expression" dxfId="26" priority="26">
      <formula>B8&lt;&gt;""</formula>
    </cfRule>
  </conditionalFormatting>
  <conditionalFormatting sqref="E8:E20">
    <cfRule type="expression" dxfId="25" priority="22" stopIfTrue="1">
      <formula>AM8=1</formula>
    </cfRule>
    <cfRule type="expression" dxfId="24" priority="25">
      <formula>C8&lt;&gt;""</formula>
    </cfRule>
  </conditionalFormatting>
  <conditionalFormatting sqref="E48">
    <cfRule type="expression" dxfId="23" priority="586">
      <formula>AND(E$48="Default by Size",$G$48="")</formula>
    </cfRule>
  </conditionalFormatting>
  <conditionalFormatting sqref="E21:G21 C22:F30">
    <cfRule type="expression" dxfId="22" priority="583">
      <formula>$B$22=0</formula>
    </cfRule>
  </conditionalFormatting>
  <conditionalFormatting sqref="E31:G31 C32:F36">
    <cfRule type="expression" dxfId="21" priority="584">
      <formula>$B$32=0</formula>
    </cfRule>
  </conditionalFormatting>
  <conditionalFormatting sqref="E37:G37 C38:F42">
    <cfRule type="expression" dxfId="20" priority="585">
      <formula>$B$38=0</formula>
    </cfRule>
  </conditionalFormatting>
  <conditionalFormatting sqref="E43:G43 C44:F50">
    <cfRule type="expression" dxfId="19" priority="1">
      <formula>$B$44=0</formula>
    </cfRule>
  </conditionalFormatting>
  <conditionalFormatting sqref="F40">
    <cfRule type="expression" dxfId="18" priority="2">
      <formula>$B$32=0</formula>
    </cfRule>
  </conditionalFormatting>
  <conditionalFormatting sqref="G6 G22:G50">
    <cfRule type="expression" dxfId="17" priority="13">
      <formula>A6=1</formula>
    </cfRule>
  </conditionalFormatting>
  <conditionalFormatting sqref="G8:G20">
    <cfRule type="expression" dxfId="16" priority="21" stopIfTrue="1">
      <formula>AN8=1</formula>
    </cfRule>
    <cfRule type="expression" dxfId="15" priority="24">
      <formula>E8&lt;&gt;""</formula>
    </cfRule>
  </conditionalFormatting>
  <conditionalFormatting sqref="H8:H20">
    <cfRule type="expression" dxfId="14" priority="12">
      <formula>AY8=1</formula>
    </cfRule>
  </conditionalFormatting>
  <conditionalFormatting sqref="J6">
    <cfRule type="expression" dxfId="13" priority="575">
      <formula>#REF!=0</formula>
    </cfRule>
  </conditionalFormatting>
  <conditionalFormatting sqref="L8:L20">
    <cfRule type="expression" dxfId="12" priority="151">
      <formula>L8=0</formula>
    </cfRule>
  </conditionalFormatting>
  <conditionalFormatting sqref="IP20 IP22">
    <cfRule type="expression" dxfId="11" priority="59">
      <formula>#REF!&gt;0</formula>
    </cfRule>
  </conditionalFormatting>
  <conditionalFormatting sqref="IP21:IP23">
    <cfRule type="expression" dxfId="10" priority="58">
      <formula>#REF!=1</formula>
    </cfRule>
  </conditionalFormatting>
  <conditionalFormatting sqref="IP29">
    <cfRule type="expression" dxfId="9" priority="57">
      <formula>#REF!=1</formula>
    </cfRule>
  </conditionalFormatting>
  <conditionalFormatting sqref="IP31:IP32">
    <cfRule type="expression" dxfId="8" priority="56">
      <formula>#REF!=1</formula>
    </cfRule>
  </conditionalFormatting>
  <conditionalFormatting sqref="IT35:IT68">
    <cfRule type="duplicateValues" dxfId="7" priority="582"/>
  </conditionalFormatting>
  <conditionalFormatting sqref="KA10:KM10">
    <cfRule type="expression" dxfId="6" priority="10">
      <formula>KA43=0</formula>
    </cfRule>
  </conditionalFormatting>
  <conditionalFormatting sqref="KA15:KM15">
    <cfRule type="expression" dxfId="5" priority="9">
      <formula>KA44=0</formula>
    </cfRule>
  </conditionalFormatting>
  <conditionalFormatting sqref="KA25:KM25">
    <cfRule type="expression" dxfId="4" priority="8">
      <formula>KA45=0</formula>
    </cfRule>
  </conditionalFormatting>
  <conditionalFormatting sqref="KA28:KM28">
    <cfRule type="expression" dxfId="3" priority="7">
      <formula>KA46=0</formula>
    </cfRule>
  </conditionalFormatting>
  <conditionalFormatting sqref="KA30:KM30">
    <cfRule type="expression" dxfId="2" priority="6">
      <formula>$DC$1="NO"</formula>
    </cfRule>
  </conditionalFormatting>
  <dataValidations count="45">
    <dataValidation type="whole" allowBlank="1" showInputMessage="1" showErrorMessage="1" sqref="A8:A20" xr:uid="{00000000-0002-0000-0000-00000B000000}">
      <formula1>1</formula1>
      <formula2>99</formula2>
    </dataValidation>
    <dataValidation type="list" allowBlank="1" showInputMessage="1" showErrorMessage="1" sqref="C2" xr:uid="{DB4852C3-2059-4AAA-B539-6594258B289F}">
      <formula1>$BP$4:$BP$8</formula1>
    </dataValidation>
    <dataValidation type="list" allowBlank="1" showInputMessage="1" showErrorMessage="1" sqref="C3" xr:uid="{4C1E1E94-0FB7-4A77-B618-B9C8777BE032}">
      <formula1>_xlfn.ANCHORARRAY(CY4)</formula1>
    </dataValidation>
    <dataValidation type="list" allowBlank="1" showInputMessage="1" showErrorMessage="1" sqref="C4" xr:uid="{3224D4C1-709B-4D0C-A478-6E73764151FA}">
      <formula1>_xlfn.ANCHORARRAY(DP4)</formula1>
    </dataValidation>
    <dataValidation type="list" allowBlank="1" showInputMessage="1" showErrorMessage="1" sqref="B8:B20" xr:uid="{6FE9032D-10A5-4108-BEAD-4E797B8E6986}">
      <formula1>$BY$4:$BY$7</formula1>
    </dataValidation>
    <dataValidation type="list" allowBlank="1" showInputMessage="1" showErrorMessage="1" sqref="C8" xr:uid="{AD84613A-1105-41E9-BFC7-439714E2A91A}">
      <formula1>_xlfn.ANCHORARRAY(EI4)</formula1>
    </dataValidation>
    <dataValidation type="list" allowBlank="1" showInputMessage="1" showErrorMessage="1" sqref="C9" xr:uid="{440AC881-BB02-4BFB-83E9-13E697F8680C}">
      <formula1>_xlfn.ANCHORARRAY(EJ4)</formula1>
    </dataValidation>
    <dataValidation type="list" allowBlank="1" showInputMessage="1" showErrorMessage="1" sqref="C10" xr:uid="{A356B7E5-9C36-4E08-A959-6CA931F1282F}">
      <formula1>_xlfn.ANCHORARRAY(EK4)</formula1>
    </dataValidation>
    <dataValidation type="list" allowBlank="1" showInputMessage="1" showErrorMessage="1" sqref="C11" xr:uid="{F6242963-2811-452E-94DB-9A84B3E4EBDB}">
      <formula1>_xlfn.ANCHORARRAY(EL4)</formula1>
    </dataValidation>
    <dataValidation type="list" allowBlank="1" showInputMessage="1" showErrorMessage="1" sqref="C13" xr:uid="{2039E668-BEB6-408D-9038-4EC871494232}">
      <formula1>_xlfn.ANCHORARRAY(EN4)</formula1>
    </dataValidation>
    <dataValidation type="list" allowBlank="1" showInputMessage="1" showErrorMessage="1" sqref="C14" xr:uid="{E21B02CF-5266-4CF9-A7ED-05B223C5D979}">
      <formula1>_xlfn.ANCHORARRAY(EO4)</formula1>
    </dataValidation>
    <dataValidation type="list" allowBlank="1" showInputMessage="1" showErrorMessage="1" sqref="C15" xr:uid="{C2F34E6A-78AE-4C89-BACE-91665510B753}">
      <formula1>_xlfn.ANCHORARRAY(EP4)</formula1>
    </dataValidation>
    <dataValidation type="list" allowBlank="1" showInputMessage="1" showErrorMessage="1" sqref="C16" xr:uid="{D4575113-C1D3-4CA9-96CF-750CFC43861D}">
      <formula1>_xlfn.ANCHORARRAY(EQ4)</formula1>
    </dataValidation>
    <dataValidation type="list" allowBlank="1" showInputMessage="1" showErrorMessage="1" sqref="C17" xr:uid="{20A37160-14F7-4969-82A8-9DD0A2B71284}">
      <formula1>_xlfn.ANCHORARRAY(ER4)</formula1>
    </dataValidation>
    <dataValidation type="list" allowBlank="1" showInputMessage="1" showErrorMessage="1" sqref="C18" xr:uid="{9C410DC7-3C9C-4C5E-B5E3-BAB635201373}">
      <formula1>_xlfn.ANCHORARRAY(ES4)</formula1>
    </dataValidation>
    <dataValidation type="list" allowBlank="1" showInputMessage="1" showErrorMessage="1" sqref="C19" xr:uid="{A538DE62-6DEA-4E8E-9CDD-A67F632A37C6}">
      <formula1>_xlfn.ANCHORARRAY(ET4)</formula1>
    </dataValidation>
    <dataValidation type="list" allowBlank="1" showInputMessage="1" showErrorMessage="1" sqref="C20" xr:uid="{23406750-8DCA-40F9-80C1-9CA19AB8D04C}">
      <formula1>_xlfn.ANCHORARRAY(EU4)</formula1>
    </dataValidation>
    <dataValidation type="list" allowBlank="1" showInputMessage="1" showErrorMessage="1" sqref="E8" xr:uid="{68AABEA0-6D91-4457-8C7D-0B2AB4486384}">
      <formula1>_xlfn.ANCHORARRAY(FH4)</formula1>
    </dataValidation>
    <dataValidation type="list" allowBlank="1" showInputMessage="1" showErrorMessage="1" sqref="E9" xr:uid="{57F36576-5A0E-4116-9FBD-0136B57802AB}">
      <formula1>_xlfn.ANCHORARRAY(FI4)</formula1>
    </dataValidation>
    <dataValidation type="list" allowBlank="1" showInputMessage="1" showErrorMessage="1" sqref="E10" xr:uid="{6C60EE15-8BD5-41CE-B09A-1322C2B928A9}">
      <formula1>_xlfn.ANCHORARRAY(FJ4)</formula1>
    </dataValidation>
    <dataValidation type="list" allowBlank="1" showInputMessage="1" showErrorMessage="1" sqref="E11" xr:uid="{7E9DD453-E992-473F-BEE4-0CA5210371CF}">
      <formula1>_xlfn.ANCHORARRAY(FK4)</formula1>
    </dataValidation>
    <dataValidation type="list" allowBlank="1" showInputMessage="1" showErrorMessage="1" sqref="E13" xr:uid="{C7446EEC-9679-4B47-89C2-CACB881FCF53}">
      <formula1>_xlfn.ANCHORARRAY(FM4)</formula1>
    </dataValidation>
    <dataValidation type="list" allowBlank="1" showInputMessage="1" showErrorMessage="1" sqref="E14" xr:uid="{78D250A6-1B11-4A62-A47D-09AE69DE70C0}">
      <formula1>_xlfn.ANCHORARRAY(FN4)</formula1>
    </dataValidation>
    <dataValidation type="list" allowBlank="1" showInputMessage="1" showErrorMessage="1" sqref="E15" xr:uid="{96B88045-479C-477F-9C1F-A58FA28D998D}">
      <formula1>_xlfn.ANCHORARRAY(FO4)</formula1>
    </dataValidation>
    <dataValidation type="list" allowBlank="1" showInputMessage="1" showErrorMessage="1" sqref="E16" xr:uid="{299FCA18-F389-422F-8BD8-F067B52C2B45}">
      <formula1>_xlfn.ANCHORARRAY(FP4)</formula1>
    </dataValidation>
    <dataValidation type="list" allowBlank="1" showInputMessage="1" showErrorMessage="1" sqref="E17" xr:uid="{555B2F94-986A-4DB2-B725-1A7B64CE48CA}">
      <formula1>_xlfn.ANCHORARRAY(FQ4)</formula1>
    </dataValidation>
    <dataValidation type="list" allowBlank="1" showInputMessage="1" showErrorMessage="1" sqref="E18" xr:uid="{84E3AC21-EEA9-4B28-B531-BDC264099483}">
      <formula1>_xlfn.ANCHORARRAY(FR4)</formula1>
    </dataValidation>
    <dataValidation type="list" allowBlank="1" showInputMessage="1" showErrorMessage="1" sqref="E19" xr:uid="{90A8DF1E-1FA7-482B-B5B8-25378BA34D5A}">
      <formula1>_xlfn.ANCHORARRAY(FS4)</formula1>
    </dataValidation>
    <dataValidation type="list" allowBlank="1" showInputMessage="1" showErrorMessage="1" sqref="E20" xr:uid="{05948FD7-B5C9-497C-B679-F140A0566B58}">
      <formula1>_xlfn.ANCHORARRAY(FT4)</formula1>
    </dataValidation>
    <dataValidation type="list" allowBlank="1" showInputMessage="1" showErrorMessage="1" sqref="G8" xr:uid="{CF4D0F2F-4C21-4071-AAFE-97C1BEBD37DA}">
      <formula1>_xlfn.ANCHORARRAY(HP4)</formula1>
    </dataValidation>
    <dataValidation type="list" allowBlank="1" showInputMessage="1" showErrorMessage="1" sqref="G9" xr:uid="{C333AA50-ED77-44D7-ABE7-A7523E80F14B}">
      <formula1>_xlfn.ANCHORARRAY(HQ4)</formula1>
    </dataValidation>
    <dataValidation type="list" allowBlank="1" showInputMessage="1" showErrorMessage="1" sqref="G10" xr:uid="{7C150144-2DAF-4DB5-BCDA-E6DBF322C81F}">
      <formula1>_xlfn.ANCHORARRAY(HR4)</formula1>
    </dataValidation>
    <dataValidation type="list" allowBlank="1" showInputMessage="1" showErrorMessage="1" sqref="G11" xr:uid="{6FAAC9EB-1F1D-43D4-AC05-66D2824305B8}">
      <formula1>_xlfn.ANCHORARRAY(HS4)</formula1>
    </dataValidation>
    <dataValidation type="list" allowBlank="1" showInputMessage="1" showErrorMessage="1" sqref="G12" xr:uid="{63252E14-1DA1-4B0F-AC07-06F25A1CF2BB}">
      <formula1>_xlfn.ANCHORARRAY(HT4)</formula1>
    </dataValidation>
    <dataValidation type="list" allowBlank="1" showInputMessage="1" showErrorMessage="1" sqref="G13" xr:uid="{FC5815F2-AB0E-4BFA-A999-5D37CCA6EB02}">
      <formula1>_xlfn.ANCHORARRAY(HU4)</formula1>
    </dataValidation>
    <dataValidation type="list" allowBlank="1" showInputMessage="1" showErrorMessage="1" sqref="G14" xr:uid="{B5AF3934-589F-4802-B03E-A41C424C2008}">
      <formula1>_xlfn.ANCHORARRAY(HV4)</formula1>
    </dataValidation>
    <dataValidation type="list" allowBlank="1" showInputMessage="1" showErrorMessage="1" sqref="G15" xr:uid="{86E7602B-8A66-491E-87DC-AA9100423873}">
      <formula1>_xlfn.ANCHORARRAY(HW4)</formula1>
    </dataValidation>
    <dataValidation type="list" allowBlank="1" showInputMessage="1" showErrorMessage="1" sqref="G16" xr:uid="{C0EAE5BB-3603-4979-AA4B-A0CF9D12D9EA}">
      <formula1>_xlfn.ANCHORARRAY(HX4)</formula1>
    </dataValidation>
    <dataValidation type="list" allowBlank="1" showInputMessage="1" showErrorMessage="1" sqref="G17" xr:uid="{3FED7F78-FE48-4252-AC62-E02A15418B29}">
      <formula1>_xlfn.ANCHORARRAY(HY4)</formula1>
    </dataValidation>
    <dataValidation type="list" allowBlank="1" showInputMessage="1" showErrorMessage="1" sqref="G18" xr:uid="{6620FD0B-97D6-42A5-8BDE-0A3E3F14CDFE}">
      <formula1>_xlfn.ANCHORARRAY(HZ4)</formula1>
    </dataValidation>
    <dataValidation type="list" allowBlank="1" showInputMessage="1" showErrorMessage="1" sqref="G19" xr:uid="{2A9AE406-7FF0-45F4-BCE7-818D0E02F0F2}">
      <formula1>_xlfn.ANCHORARRAY(IA4)</formula1>
    </dataValidation>
    <dataValidation type="list" allowBlank="1" showInputMessage="1" showErrorMessage="1" sqref="G20" xr:uid="{80DD760B-4D09-49CC-84AB-7292213377E4}">
      <formula1>_xlfn.ANCHORARRAY(IB4)</formula1>
    </dataValidation>
    <dataValidation type="list" allowBlank="1" showInputMessage="1" showErrorMessage="1" sqref="C5" xr:uid="{386FD6A5-3235-4128-B494-52D332579A83}">
      <formula1>_xlfn.ANCHORARRAY($DC$4)</formula1>
    </dataValidation>
    <dataValidation type="list" allowBlank="1" showInputMessage="1" showErrorMessage="1" sqref="C12" xr:uid="{BA064A78-0E7A-42B1-9F4C-29FB15F326AE}">
      <formula1>_xlfn.ANCHORARRAY(EM4)</formula1>
    </dataValidation>
    <dataValidation type="list" allowBlank="1" showInputMessage="1" showErrorMessage="1" sqref="E12" xr:uid="{6E3890BF-0CAC-4FF1-8E11-60A551A1EE78}">
      <formula1>_xlfn.ANCHORARRAY(FL4)</formula1>
    </dataValidation>
  </dataValidations>
  <pageMargins left="0.45" right="0.45" top="0.5" bottom="0.5" header="0.3" footer="0.3"/>
  <pageSetup fitToWidth="0" orientation="landscape" r:id="rId1"/>
  <headerFooter>
    <oddFooter>Page &amp;P of &amp;N</oddFooter>
  </headerFooter>
  <ignoredErrors>
    <ignoredError sqref="AF22 F23 F29:F30 F35:F36 F41:F42 F49" evalError="1"/>
    <ignoredError sqref="KA11:KM11 KA14:KM14 KA16:KM16 KA23:KM23" formula="1"/>
  </ignoredErrors>
  <drawing r:id="rId2"/>
  <extLst>
    <ext xmlns:x14="http://schemas.microsoft.com/office/spreadsheetml/2009/9/main" uri="{CCE6A557-97BC-4b89-ADB6-D9C93CAAB3DF}">
      <x14:dataValidations xmlns:xm="http://schemas.microsoft.com/office/excel/2006/main" count="24">
        <x14:dataValidation type="list" allowBlank="1" showInputMessage="1" showErrorMessage="1" xr:uid="{1D7982E9-DC56-4E60-9249-3902792345AF}">
          <x14:formula1>
            <xm:f>prd!$BF$5:$BO$5</xm:f>
          </x14:formula1>
          <xm:sqref>L1</xm:sqref>
        </x14:dataValidation>
        <x14:dataValidation type="list" allowBlank="1" showInputMessage="1" showErrorMessage="1" xr:uid="{1F8F521D-799D-4797-9B60-81F577C0DC2E}">
          <x14:formula1>
            <xm:f>_xlfn.ANCHORARRAY(Dtls!$K$4)</xm:f>
          </x14:formula1>
          <xm:sqref>G22</xm:sqref>
        </x14:dataValidation>
        <x14:dataValidation type="list" allowBlank="1" showInputMessage="1" showErrorMessage="1" xr:uid="{731E93A9-0591-4DA6-920F-4DDE6E161F14}">
          <x14:formula1>
            <xm:f>_xlfn.ANCHORARRAY(Dtls!$AA$4)</xm:f>
          </x14:formula1>
          <xm:sqref>G23</xm:sqref>
        </x14:dataValidation>
        <x14:dataValidation type="list" allowBlank="1" showInputMessage="1" showErrorMessage="1" xr:uid="{ED40C501-A586-4867-BAE1-982082A93819}">
          <x14:formula1>
            <xm:f>_xlfn.ANCHORARRAY(Dtls!$AT$4)</xm:f>
          </x14:formula1>
          <xm:sqref>G24</xm:sqref>
        </x14:dataValidation>
        <x14:dataValidation type="list" allowBlank="1" showInputMessage="1" showErrorMessage="1" xr:uid="{3639E637-BDDF-4872-AA89-8DCB64FC10D4}">
          <x14:formula1>
            <xm:f>_xlfn.ANCHORARRAY(Dtls!$BE$4)</xm:f>
          </x14:formula1>
          <xm:sqref>G30</xm:sqref>
        </x14:dataValidation>
        <x14:dataValidation type="list" allowBlank="1" showInputMessage="1" showErrorMessage="1" xr:uid="{76253C3B-A0EA-47A3-A69E-552253C8C7F4}">
          <x14:formula1>
            <xm:f>_xlfn.ANCHORARRAY(Dtls!$CI$5)</xm:f>
          </x14:formula1>
          <xm:sqref>G25</xm:sqref>
        </x14:dataValidation>
        <x14:dataValidation type="list" allowBlank="1" showInputMessage="1" showErrorMessage="1" xr:uid="{E84F1475-77C9-4BBE-9516-77E7A6C4416F}">
          <x14:formula1>
            <xm:f>_xlfn.ANCHORARRAY(Dtls!$CQ$5)</xm:f>
          </x14:formula1>
          <xm:sqref>G27</xm:sqref>
        </x14:dataValidation>
        <x14:dataValidation type="list" allowBlank="1" showInputMessage="1" showErrorMessage="1" xr:uid="{D937D51D-B9B8-4420-95CD-B7581EEB8EC8}">
          <x14:formula1>
            <xm:f>_xlfn.ANCHORARRAY(Dtls!$CW$4)</xm:f>
          </x14:formula1>
          <xm:sqref>G28</xm:sqref>
        </x14:dataValidation>
        <x14:dataValidation type="list" allowBlank="1" showInputMessage="1" showErrorMessage="1" xr:uid="{DCDD92FE-0364-4D69-B499-0D4957E6227F}">
          <x14:formula1>
            <xm:f>_xlfn.ANCHORARRAY(Dtls!$EB$4)</xm:f>
          </x14:formula1>
          <xm:sqref>G32</xm:sqref>
        </x14:dataValidation>
        <x14:dataValidation type="list" allowBlank="1" showInputMessage="1" showErrorMessage="1" xr:uid="{53D5A32A-7469-4090-9150-4E4EFD95248A}">
          <x14:formula1>
            <xm:f>Dtls!$ED$4</xm:f>
          </x14:formula1>
          <xm:sqref>G45</xm:sqref>
        </x14:dataValidation>
        <x14:dataValidation type="list" allowBlank="1" showInputMessage="1" showErrorMessage="1" xr:uid="{030DA476-243D-4734-8C0E-11099C1C587C}">
          <x14:formula1>
            <xm:f>_xlfn.ANCHORARRAY(Dtls!$DM$4)</xm:f>
          </x14:formula1>
          <xm:sqref>G41 G35 G49 G29</xm:sqref>
        </x14:dataValidation>
        <x14:dataValidation type="list" allowBlank="1" showInputMessage="1" showErrorMessage="1" xr:uid="{F66076F4-9A2B-425C-B5C1-152FD52FB78B}">
          <x14:formula1>
            <xm:f>_xlfn.ANCHORARRAY(Dtls!$BW$5)</xm:f>
          </x14:formula1>
          <xm:sqref>G47</xm:sqref>
        </x14:dataValidation>
        <x14:dataValidation type="list" allowBlank="1" showInputMessage="1" showErrorMessage="1" xr:uid="{8696553F-C16A-432F-983F-06CE3E0275C3}">
          <x14:formula1>
            <xm:f>_xlfn.ANCHORARRAY(Dtls!$BV$5)</xm:f>
          </x14:formula1>
          <xm:sqref>G39</xm:sqref>
        </x14:dataValidation>
        <x14:dataValidation type="list" allowBlank="1" showInputMessage="1" showErrorMessage="1" xr:uid="{BCB08576-FA92-41E3-B732-C4EE7C79DF11}">
          <x14:formula1>
            <xm:f>_xlfn.ANCHORARRAY(Dtls!$BU$5)</xm:f>
          </x14:formula1>
          <xm:sqref>G33</xm:sqref>
        </x14:dataValidation>
        <x14:dataValidation type="list" allowBlank="1" showInputMessage="1" showErrorMessage="1" xr:uid="{FC431F73-1C9C-40B9-A77A-811184A07ED6}">
          <x14:formula1>
            <xm:f>_xlfn.ANCHORARRAY(Dtls!$BG$4)</xm:f>
          </x14:formula1>
          <xm:sqref>G36</xm:sqref>
        </x14:dataValidation>
        <x14:dataValidation type="list" allowBlank="1" showInputMessage="1" showErrorMessage="1" xr:uid="{E12E6431-1FAB-4781-9F14-8F1D46B23CE4}">
          <x14:formula1>
            <xm:f>_xlfn.ANCHORARRAY(Dtls!$BF$4)</xm:f>
          </x14:formula1>
          <xm:sqref>G42</xm:sqref>
        </x14:dataValidation>
        <x14:dataValidation type="list" allowBlank="1" showInputMessage="1" showErrorMessage="1" xr:uid="{75E280ED-80C6-41F9-8056-CCEE65F55F59}">
          <x14:formula1>
            <xm:f>Dtls!$EI$5:$EI$6</xm:f>
          </x14:formula1>
          <xm:sqref>G44</xm:sqref>
        </x14:dataValidation>
        <x14:dataValidation type="list" allowBlank="1" showInputMessage="1" showErrorMessage="1" xr:uid="{AEF2D7E2-61AA-4D5F-BDA5-DE46F72DDB12}">
          <x14:formula1>
            <xm:f>_xlfn.ANCHORARRAY(Dtls!$EO$4)</xm:f>
          </x14:formula1>
          <xm:sqref>G46</xm:sqref>
        </x14:dataValidation>
        <x14:dataValidation type="list" allowBlank="1" showInputMessage="1" showErrorMessage="1" xr:uid="{E87515A4-A633-43E4-AF3B-1E3F1FB5B5A9}">
          <x14:formula1>
            <xm:f>_xlfn.ANCHORARRAY(Dtls!$ET$4)</xm:f>
          </x14:formula1>
          <xm:sqref>G50</xm:sqref>
        </x14:dataValidation>
        <x14:dataValidation type="list" allowBlank="1" showInputMessage="1" showErrorMessage="1" xr:uid="{E0AD8F21-3048-4EA0-9C81-C39819EF8AD7}">
          <x14:formula1>
            <xm:f>_xlfn.ANCHORARRAY(Dtls!$EC$4)</xm:f>
          </x14:formula1>
          <xm:sqref>G38</xm:sqref>
        </x14:dataValidation>
        <x14:dataValidation type="list" allowBlank="1" showInputMessage="1" showErrorMessage="1" xr:uid="{4572B228-BCD5-4AF5-969C-376A5FF6923A}">
          <x14:formula1>
            <xm:f>_xlfn.ANCHORARRAY(Dtls!$BT$5)</xm:f>
          </x14:formula1>
          <xm:sqref>G26</xm:sqref>
        </x14:dataValidation>
        <x14:dataValidation type="list" allowBlank="1" showInputMessage="1" showErrorMessage="1" xr:uid="{B196B535-2E48-4AA3-8DC8-908EE841BDBC}">
          <x14:formula1>
            <xm:f>_xlfn.ANCHORARRAY(Dtls!$CJ$5)</xm:f>
          </x14:formula1>
          <xm:sqref>G34</xm:sqref>
        </x14:dataValidation>
        <x14:dataValidation type="list" allowBlank="1" showInputMessage="1" showErrorMessage="1" xr:uid="{568D93BA-02E6-4790-913D-B995B922AD0A}">
          <x14:formula1>
            <xm:f>_xlfn.ANCHORARRAY(Dtls!$CK$5)</xm:f>
          </x14:formula1>
          <xm:sqref>G40</xm:sqref>
        </x14:dataValidation>
        <x14:dataValidation type="list" allowBlank="1" showInputMessage="1" showErrorMessage="1" xr:uid="{558BB306-5540-4195-B287-3CB3D36AD8E7}">
          <x14:formula1>
            <xm:f>_xlfn.ANCHORARRAY(Dtls!CL5)</xm:f>
          </x14:formula1>
          <xm:sqref>G48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6882BE-9887-442C-B773-02F6B9A5588C}">
  <sheetPr codeName="Sheet2"/>
  <dimension ref="B1:ET1639"/>
  <sheetViews>
    <sheetView topLeftCell="DE1" workbookViewId="0">
      <selection activeCell="DK14" sqref="DK14"/>
    </sheetView>
  </sheetViews>
  <sheetFormatPr defaultRowHeight="14.4" x14ac:dyDescent="0.3"/>
  <cols>
    <col min="1" max="1" width="9.109375" customWidth="1"/>
    <col min="2" max="2" width="16.109375" customWidth="1"/>
    <col min="3" max="3" width="21.5546875" bestFit="1" customWidth="1"/>
    <col min="10" max="10" width="23.21875" bestFit="1" customWidth="1"/>
    <col min="11" max="11" width="23.21875" customWidth="1"/>
    <col min="12" max="12" width="10.33203125" customWidth="1"/>
    <col min="15" max="15" width="8.88671875" style="3"/>
    <col min="17" max="17" width="21.109375" bestFit="1" customWidth="1"/>
    <col min="21" max="21" width="22.33203125" bestFit="1" customWidth="1"/>
    <col min="24" max="24" width="9.88671875" customWidth="1"/>
    <col min="26" max="27" width="28.44140625" bestFit="1" customWidth="1"/>
    <col min="33" max="33" width="22.21875" customWidth="1"/>
    <col min="37" max="37" width="13.77734375" bestFit="1" customWidth="1"/>
    <col min="38" max="38" width="21.21875" customWidth="1"/>
    <col min="44" max="44" width="11" bestFit="1" customWidth="1"/>
    <col min="45" max="45" width="23.44140625" customWidth="1"/>
    <col min="46" max="46" width="16.21875" customWidth="1"/>
    <col min="51" max="51" width="9.6640625" bestFit="1" customWidth="1"/>
    <col min="52" max="52" width="8.5546875" customWidth="1"/>
    <col min="55" max="55" width="12.5546875" customWidth="1"/>
    <col min="57" max="57" width="11.6640625" customWidth="1"/>
    <col min="58" max="58" width="11.109375" customWidth="1"/>
    <col min="59" max="59" width="10.77734375" customWidth="1"/>
    <col min="63" max="63" width="19.88671875" bestFit="1" customWidth="1"/>
    <col min="66" max="66" width="8.88671875" style="154"/>
    <col min="69" max="69" width="17.44140625" bestFit="1" customWidth="1"/>
    <col min="70" max="70" width="22.44140625" bestFit="1" customWidth="1"/>
    <col min="72" max="72" width="20.44140625" bestFit="1" customWidth="1"/>
    <col min="73" max="74" width="21.33203125" bestFit="1" customWidth="1"/>
    <col min="75" max="75" width="17.21875" customWidth="1"/>
    <col min="78" max="78" width="21.21875" bestFit="1" customWidth="1"/>
    <col min="84" max="84" width="18" bestFit="1" customWidth="1"/>
    <col min="85" max="85" width="24.88671875" bestFit="1" customWidth="1"/>
    <col min="87" max="87" width="25.109375" customWidth="1"/>
    <col min="88" max="88" width="20.109375" bestFit="1" customWidth="1"/>
    <col min="89" max="89" width="20.77734375" customWidth="1"/>
    <col min="90" max="90" width="16.77734375" customWidth="1"/>
    <col min="92" max="92" width="12.77734375" customWidth="1"/>
    <col min="93" max="93" width="10.44140625" customWidth="1"/>
    <col min="95" max="95" width="10.88671875" customWidth="1"/>
    <col min="96" max="96" width="10.77734375" bestFit="1" customWidth="1"/>
    <col min="99" max="99" width="16.21875" customWidth="1"/>
    <col min="104" max="104" width="10.77734375" bestFit="1" customWidth="1"/>
    <col min="105" max="105" width="15" bestFit="1" customWidth="1"/>
    <col min="110" max="110" width="15" bestFit="1" customWidth="1"/>
    <col min="115" max="115" width="12.21875" bestFit="1" customWidth="1"/>
    <col min="116" max="116" width="15" bestFit="1" customWidth="1"/>
    <col min="117" max="117" width="15.109375" bestFit="1" customWidth="1"/>
    <col min="118" max="118" width="14.6640625" customWidth="1"/>
    <col min="119" max="119" width="14.5546875" customWidth="1"/>
    <col min="120" max="120" width="14.6640625" customWidth="1"/>
    <col min="121" max="121" width="9.5546875" customWidth="1"/>
    <col min="125" max="125" width="40" bestFit="1" customWidth="1"/>
    <col min="126" max="126" width="13.5546875" bestFit="1" customWidth="1"/>
    <col min="127" max="127" width="13.5546875" customWidth="1"/>
    <col min="131" max="131" width="13.5546875" bestFit="1" customWidth="1"/>
    <col min="132" max="132" width="12.88671875" customWidth="1"/>
    <col min="133" max="133" width="11.21875" customWidth="1"/>
    <col min="134" max="134" width="11.77734375" customWidth="1"/>
    <col min="138" max="138" width="9.77734375" customWidth="1"/>
    <col min="139" max="139" width="15.109375" bestFit="1" customWidth="1"/>
    <col min="143" max="143" width="12.6640625" customWidth="1"/>
    <col min="144" max="144" width="19.5546875" customWidth="1"/>
    <col min="145" max="145" width="17.44140625" customWidth="1"/>
    <col min="146" max="146" width="14.33203125" customWidth="1"/>
    <col min="149" max="149" width="11.6640625" customWidth="1"/>
    <col min="150" max="150" width="12.44140625" customWidth="1"/>
  </cols>
  <sheetData>
    <row r="1" spans="2:150" ht="20.399999999999999" x14ac:dyDescent="0.35">
      <c r="B1" s="83" t="s">
        <v>901</v>
      </c>
      <c r="C1" s="84"/>
      <c r="G1" s="81" t="s">
        <v>916</v>
      </c>
      <c r="H1" s="82"/>
      <c r="I1" s="82"/>
      <c r="K1" s="9" t="e">
        <f>IF(K4&lt;&gt;"","Yes","No")</f>
        <v>#N/A</v>
      </c>
      <c r="O1" s="81" t="s">
        <v>920</v>
      </c>
      <c r="P1" s="140"/>
      <c r="Q1" s="140"/>
      <c r="T1" s="83" t="s">
        <v>935</v>
      </c>
      <c r="U1" s="84"/>
      <c r="X1" s="83" t="s">
        <v>937</v>
      </c>
      <c r="Y1" s="135"/>
      <c r="Z1" s="135"/>
      <c r="AA1" s="9" t="e">
        <f>IF(AA4&lt;&gt;"","Yes","No")</f>
        <v>#N/A</v>
      </c>
      <c r="AE1" s="81" t="s">
        <v>938</v>
      </c>
      <c r="AF1" s="140"/>
      <c r="AG1" s="140"/>
      <c r="AK1" s="148" t="s">
        <v>945</v>
      </c>
      <c r="AL1" s="84"/>
      <c r="AO1" s="150" t="s">
        <v>956</v>
      </c>
      <c r="AP1" s="82"/>
      <c r="AQ1" s="82"/>
      <c r="AR1" s="82"/>
      <c r="AT1" s="9" t="str">
        <f>IF(AT4&lt;&gt;"","Yes","No")</f>
        <v>No</v>
      </c>
      <c r="AW1" s="81" t="s">
        <v>958</v>
      </c>
      <c r="AX1" s="140"/>
      <c r="AY1" s="42"/>
      <c r="AZ1" s="42"/>
      <c r="BB1" s="81" t="s">
        <v>984</v>
      </c>
      <c r="BC1" s="84"/>
      <c r="BE1" s="9" t="e">
        <f>IF(BE4&lt;&gt;"","Yes","No")</f>
        <v>#N/A</v>
      </c>
      <c r="BF1" s="9" t="e">
        <f>IF(BF4&lt;&gt;"","Yes","No")</f>
        <v>#N/A</v>
      </c>
      <c r="BG1" s="9" t="e">
        <f>IF(BG4&lt;&gt;"","Yes","No")</f>
        <v>#N/A</v>
      </c>
      <c r="BJ1" s="81" t="s">
        <v>998</v>
      </c>
      <c r="BK1" s="84"/>
      <c r="BN1" s="155"/>
      <c r="BO1" s="153"/>
      <c r="BP1" s="135"/>
      <c r="BQ1" s="170" t="s">
        <v>993</v>
      </c>
      <c r="BR1" s="82"/>
      <c r="BU1" s="9" t="str">
        <f>IF(BU5&lt;&gt;"","Yes","No")</f>
        <v>No</v>
      </c>
      <c r="BV1" s="9" t="str">
        <f>IF(BV5&lt;&gt;"","Yes","No")</f>
        <v>No</v>
      </c>
      <c r="BW1" s="9" t="str">
        <f>IF(BW5&lt;&gt;"","Yes","No")</f>
        <v>No</v>
      </c>
      <c r="BY1" s="81" t="s">
        <v>1002</v>
      </c>
      <c r="BZ1" s="84"/>
      <c r="CD1" s="81" t="s">
        <v>1007</v>
      </c>
      <c r="CE1" s="156"/>
      <c r="CF1" s="153"/>
      <c r="CG1" s="153"/>
      <c r="CI1" s="9" t="str">
        <f>IF(CI5&lt;&gt;"","Yes","No")</f>
        <v>No</v>
      </c>
      <c r="CJ1" s="9" t="str">
        <f>IF(CJ5&lt;&gt;"","Yes","No")</f>
        <v>No</v>
      </c>
      <c r="CK1" s="9" t="str">
        <f>IF(CK5&lt;&gt;"","Yes","No")</f>
        <v>No</v>
      </c>
      <c r="CL1" s="9" t="str">
        <f>IF(CL5&lt;&gt;"","Yes","No")</f>
        <v>No</v>
      </c>
      <c r="CN1" s="83" t="s">
        <v>1083</v>
      </c>
      <c r="CO1" s="84"/>
      <c r="CQ1" s="9" t="str">
        <f>IF(CQ5&lt;&gt;"","Yes","No")</f>
        <v>No</v>
      </c>
      <c r="CT1" s="83" t="s">
        <v>1092</v>
      </c>
      <c r="CU1" s="84"/>
      <c r="CW1" s="9" t="str">
        <f>IF(CW4&lt;&gt;"","Yes","No")</f>
        <v>No</v>
      </c>
      <c r="CZ1" s="83" t="s">
        <v>1103</v>
      </c>
      <c r="DA1" s="84"/>
      <c r="DD1" s="83" t="s">
        <v>1113</v>
      </c>
      <c r="DE1" s="140"/>
      <c r="DF1" s="140"/>
      <c r="DI1" s="83" t="s">
        <v>1115</v>
      </c>
      <c r="DJ1" s="82"/>
      <c r="DK1" s="82"/>
      <c r="DL1" s="219" t="s">
        <v>1331</v>
      </c>
      <c r="DM1" s="9" t="e">
        <f>IF(DM4&lt;&gt;"","Yes","No")</f>
        <v>#N/A</v>
      </c>
      <c r="DN1" s="9"/>
      <c r="DO1" s="9"/>
      <c r="DP1" s="9"/>
      <c r="DT1" s="83" t="s">
        <v>1117</v>
      </c>
      <c r="DU1" s="84"/>
      <c r="DY1" s="81" t="s">
        <v>1124</v>
      </c>
      <c r="DZ1" s="82"/>
      <c r="EA1" s="82"/>
      <c r="EB1" s="9" t="str">
        <f>IF(EB4&lt;&gt;"","Yes","No")</f>
        <v>No</v>
      </c>
      <c r="EC1" s="9" t="str">
        <f>IF(EC4&lt;&gt;"","Yes","No")</f>
        <v>No</v>
      </c>
      <c r="ED1" s="9" t="str">
        <f>IF(ED4&lt;&gt;"","Yes","No")</f>
        <v>No</v>
      </c>
      <c r="EH1" s="83" t="s">
        <v>1141</v>
      </c>
      <c r="EI1" s="84"/>
      <c r="EM1" s="83" t="s">
        <v>1148</v>
      </c>
      <c r="EN1" s="84"/>
      <c r="EO1" s="9" t="str">
        <f>IF(EO4&lt;&gt;"","Yes","No")</f>
        <v>Yes</v>
      </c>
      <c r="ER1" s="83" t="s">
        <v>1163</v>
      </c>
      <c r="ES1" s="181"/>
      <c r="ET1" s="9" t="str">
        <f>IF(ET4&lt;&gt;"","Yes","No")</f>
        <v>No</v>
      </c>
    </row>
    <row r="2" spans="2:150" ht="15.6" customHeight="1" x14ac:dyDescent="0.35">
      <c r="B2" s="86"/>
      <c r="G2" s="81"/>
      <c r="H2" s="81"/>
      <c r="I2" s="81"/>
      <c r="O2" s="3" t="s">
        <v>299</v>
      </c>
      <c r="T2" s="9"/>
      <c r="U2" s="9"/>
      <c r="AD2" s="7" t="s">
        <v>941</v>
      </c>
      <c r="AE2" s="81"/>
      <c r="AF2" s="42"/>
      <c r="AK2" s="258"/>
      <c r="AL2" s="259"/>
      <c r="AO2" s="149"/>
      <c r="AP2" s="42"/>
      <c r="AQ2" s="42"/>
      <c r="AR2" s="42"/>
      <c r="AW2" s="81"/>
      <c r="AX2" s="42"/>
      <c r="AY2" s="42"/>
      <c r="BE2" s="9" t="s">
        <v>66</v>
      </c>
      <c r="BF2" s="9" t="s">
        <v>73</v>
      </c>
      <c r="BG2" s="9" t="s">
        <v>24</v>
      </c>
      <c r="BO2" s="91"/>
      <c r="BT2" t="s">
        <v>1441</v>
      </c>
      <c r="CE2" s="91"/>
      <c r="CI2" s="9" t="str">
        <f>IF(DH7 ="SH", "There ain't none","Smth White w/Logo")</f>
        <v>Smth White w/Logo</v>
      </c>
      <c r="DI2" t="s">
        <v>50</v>
      </c>
      <c r="DJ2" t="s">
        <v>202</v>
      </c>
      <c r="DK2" t="s">
        <v>210</v>
      </c>
      <c r="DL2" s="42" t="s">
        <v>985</v>
      </c>
      <c r="DM2" s="4" t="s">
        <v>1902</v>
      </c>
      <c r="DN2" s="9"/>
      <c r="DO2" s="9"/>
      <c r="DP2" s="9"/>
      <c r="DT2" s="171" t="s">
        <v>1118</v>
      </c>
      <c r="DU2" s="77" t="s">
        <v>1119</v>
      </c>
      <c r="EB2" s="9" t="s">
        <v>13</v>
      </c>
      <c r="EC2" s="9" t="s">
        <v>12</v>
      </c>
      <c r="ED2" s="9" t="s">
        <v>14</v>
      </c>
      <c r="EH2" s="257"/>
      <c r="EI2" s="262"/>
      <c r="EM2" s="86"/>
    </row>
    <row r="3" spans="2:150" x14ac:dyDescent="0.3">
      <c r="B3" s="139" t="s">
        <v>210</v>
      </c>
      <c r="C3" s="139" t="s">
        <v>211</v>
      </c>
      <c r="D3" s="154" t="s">
        <v>1235</v>
      </c>
      <c r="G3" s="12" t="s">
        <v>50</v>
      </c>
      <c r="H3" s="12" t="s">
        <v>917</v>
      </c>
      <c r="I3" s="12" t="s">
        <v>202</v>
      </c>
      <c r="J3" s="131" t="s">
        <v>918</v>
      </c>
      <c r="K3" s="12" t="s">
        <v>934</v>
      </c>
      <c r="L3" s="131"/>
      <c r="O3" s="12" t="s">
        <v>917</v>
      </c>
      <c r="P3" s="91" t="s">
        <v>202</v>
      </c>
      <c r="Q3" s="131" t="s">
        <v>918</v>
      </c>
      <c r="T3" s="145" t="s">
        <v>210</v>
      </c>
      <c r="U3" s="91" t="s">
        <v>211</v>
      </c>
      <c r="X3" s="91" t="s">
        <v>242</v>
      </c>
      <c r="Y3" s="91" t="s">
        <v>1356</v>
      </c>
      <c r="Z3" t="s">
        <v>211</v>
      </c>
      <c r="AA3" t="s">
        <v>943</v>
      </c>
      <c r="AE3" s="91" t="s">
        <v>917</v>
      </c>
      <c r="AF3" s="91" t="s">
        <v>202</v>
      </c>
      <c r="AG3" s="129" t="s">
        <v>940</v>
      </c>
      <c r="AK3" s="14" t="s">
        <v>210</v>
      </c>
      <c r="AL3" s="14" t="s">
        <v>211</v>
      </c>
      <c r="AO3" s="14" t="s">
        <v>560</v>
      </c>
      <c r="AP3" s="14" t="s">
        <v>44</v>
      </c>
      <c r="AQ3" s="14" t="s">
        <v>552</v>
      </c>
      <c r="AR3" s="24" t="s">
        <v>202</v>
      </c>
      <c r="AS3" s="134" t="s">
        <v>957</v>
      </c>
      <c r="AT3" s="14" t="s">
        <v>959</v>
      </c>
      <c r="AW3" s="9" t="s">
        <v>552</v>
      </c>
      <c r="AX3" t="s">
        <v>202</v>
      </c>
      <c r="BB3" t="s">
        <v>991</v>
      </c>
      <c r="BE3" t="s">
        <v>987</v>
      </c>
      <c r="BF3" t="s">
        <v>988</v>
      </c>
      <c r="BG3" s="9" t="s">
        <v>992</v>
      </c>
      <c r="BJ3" s="91" t="s">
        <v>210</v>
      </c>
      <c r="BK3" s="91" t="s">
        <v>211</v>
      </c>
      <c r="BN3" s="154" t="s">
        <v>1006</v>
      </c>
      <c r="BO3" s="12" t="s">
        <v>21</v>
      </c>
      <c r="BP3" s="12" t="s">
        <v>202</v>
      </c>
      <c r="BQ3" s="36" t="s">
        <v>44</v>
      </c>
      <c r="BR3" s="91" t="s">
        <v>985</v>
      </c>
      <c r="BY3" s="91" t="s">
        <v>210</v>
      </c>
      <c r="BZ3" s="91" t="s">
        <v>211</v>
      </c>
      <c r="CB3" s="116"/>
      <c r="CC3" s="12" t="s">
        <v>20</v>
      </c>
      <c r="CD3" s="12" t="s">
        <v>44</v>
      </c>
      <c r="CE3" s="12" t="s">
        <v>392</v>
      </c>
      <c r="CF3" s="36" t="s">
        <v>44</v>
      </c>
      <c r="CG3" s="91" t="s">
        <v>1008</v>
      </c>
      <c r="CN3" s="258"/>
      <c r="CO3" s="259"/>
      <c r="CT3" s="12" t="s">
        <v>210</v>
      </c>
      <c r="CU3" s="91" t="s">
        <v>985</v>
      </c>
      <c r="CW3" t="s">
        <v>959</v>
      </c>
      <c r="CZ3" s="12" t="s">
        <v>1104</v>
      </c>
      <c r="DA3" s="91" t="s">
        <v>211</v>
      </c>
      <c r="DD3" s="9" t="s">
        <v>50</v>
      </c>
      <c r="DE3" s="9" t="s">
        <v>202</v>
      </c>
      <c r="DF3" s="129" t="s">
        <v>1114</v>
      </c>
      <c r="DI3" s="12" t="s">
        <v>16</v>
      </c>
      <c r="DJ3" s="12" t="s">
        <v>1111</v>
      </c>
      <c r="DK3" s="151" t="str">
        <f>CONCATENATE("{[",DI3,"]:[",DJ3,"]}")</f>
        <v>{[LL]:[LGC]}</v>
      </c>
      <c r="DL3" s="42" t="s">
        <v>1112</v>
      </c>
      <c r="DM3" s="9" t="s">
        <v>959</v>
      </c>
      <c r="DN3" s="9"/>
      <c r="DO3" s="9"/>
      <c r="DP3" s="9"/>
      <c r="DT3" s="12" t="s">
        <v>1120</v>
      </c>
      <c r="DV3" s="129" t="s">
        <v>1125</v>
      </c>
      <c r="DY3" s="12" t="s">
        <v>242</v>
      </c>
      <c r="DZ3" s="12" t="s">
        <v>392</v>
      </c>
      <c r="EA3" s="129" t="s">
        <v>1125</v>
      </c>
      <c r="EB3" s="9" t="s">
        <v>1128</v>
      </c>
      <c r="EC3" s="9" t="s">
        <v>1128</v>
      </c>
      <c r="ED3" s="9" t="s">
        <v>1128</v>
      </c>
      <c r="EH3" s="14" t="s">
        <v>210</v>
      </c>
      <c r="EI3" s="14" t="s">
        <v>211</v>
      </c>
      <c r="EM3" s="12" t="s">
        <v>1149</v>
      </c>
      <c r="EN3" s="14" t="s">
        <v>211</v>
      </c>
      <c r="EO3" t="s">
        <v>959</v>
      </c>
      <c r="ER3" t="s">
        <v>1165</v>
      </c>
      <c r="ES3" s="14" t="s">
        <v>211</v>
      </c>
      <c r="ET3" s="14" t="s">
        <v>959</v>
      </c>
    </row>
    <row r="4" spans="2:150" x14ac:dyDescent="0.3">
      <c r="B4" s="12" t="s">
        <v>902</v>
      </c>
      <c r="C4" s="91" t="s">
        <v>903</v>
      </c>
      <c r="D4" s="154" t="s">
        <v>1236</v>
      </c>
      <c r="G4" s="12" t="s">
        <v>15</v>
      </c>
      <c r="H4" s="12" t="s">
        <v>276</v>
      </c>
      <c r="I4" s="12" t="s">
        <v>60</v>
      </c>
      <c r="J4" s="129" t="str">
        <f t="shared" ref="J4:J19" si="0">INDEX($C$3:$C$15,MATCH(I4,$B$3:$B$15,0))</f>
        <v>Matching Hoop</v>
      </c>
      <c r="K4" s="128" t="e" cm="1">
        <f t="array" ref="K4">_xlfn._xlws.FILTER(J3:J2000,(G3:G2000=Outfitter!AE8)*(Dtls!H3:H2000=Outfitter!AF8)*(J3:J2000&lt;&gt;Outfitter!E22)*(Outfitter!B22&gt;0),"")</f>
        <v>#N/A</v>
      </c>
      <c r="L4" s="129"/>
      <c r="O4" s="13" t="s">
        <v>276</v>
      </c>
      <c r="P4" s="12" t="s">
        <v>60</v>
      </c>
      <c r="Q4" s="129" t="str">
        <f t="shared" ref="Q4:Q13" si="1">VLOOKUP(P4,$B$4:$C$15,2,FALSE)</f>
        <v>Matching Hoop</v>
      </c>
      <c r="T4" s="15" t="s">
        <v>330</v>
      </c>
      <c r="U4" s="92" t="s">
        <v>331</v>
      </c>
      <c r="X4" s="14" t="s">
        <v>66</v>
      </c>
      <c r="Y4" s="13" t="s">
        <v>330</v>
      </c>
      <c r="Z4" s="129" t="str">
        <f>INDEX($U$3:$U$80,MATCH(Y4,$T$3:$T$80,0))</f>
        <v>Aged Onyx</v>
      </c>
      <c r="AA4" s="126" t="e" cm="1">
        <f t="array" ref="AA4">IF(OR(Outfitter!AF22="ONa",Outfitter!AF22="SNa",Outfitter!AF22="STa",Outfitter!AF22="MHa"),_xlfn._xlws.FILTER(Z3:Z183,(Z3:Z183&lt;&gt;Outfitter!E23)*(Outfitter!B22&gt;0)*(Z3:Z183&lt;&gt;""),""),"")</f>
        <v>#N/A</v>
      </c>
      <c r="AD4" s="144"/>
      <c r="AE4" s="13" t="s">
        <v>272</v>
      </c>
      <c r="AF4" s="15" t="s">
        <v>382</v>
      </c>
      <c r="AG4" s="129" t="str">
        <f t="shared" ref="AG4:AG12" si="2">INDEX($U$4:$U$55,MATCH(AF4,$T$4:$T$55,0))</f>
        <v>Vintage White Marine</v>
      </c>
      <c r="AK4" s="12" t="s">
        <v>946</v>
      </c>
      <c r="AL4" s="17" t="s">
        <v>1339</v>
      </c>
      <c r="AO4" s="14" t="s">
        <v>561</v>
      </c>
      <c r="AP4" s="14" t="s">
        <v>45</v>
      </c>
      <c r="AQ4" s="14" t="s">
        <v>518</v>
      </c>
      <c r="AR4" s="12" t="s">
        <v>952</v>
      </c>
      <c r="AS4" s="129" t="s">
        <v>1342</v>
      </c>
      <c r="AT4" s="126" t="str" cm="1">
        <f t="array" ref="AT4">_xlfn._xlws.FILTER(AL4:AL8,(Dtls!AK4:AK8&lt;&gt;Outfitter!AL23)*(AK4:AK8&lt;&gt;Outfitter!AL24)*(AK4:AK8&lt;&gt;Outfitter!AL25)*(AK4:AK8&lt;&gt;Outfitter!AL26)*(AL4:AL8&lt;&gt;Outfitter!E24)*(Outfitter!B22&gt;0),"")</f>
        <v/>
      </c>
      <c r="AW4" s="12" t="s">
        <v>22</v>
      </c>
      <c r="AX4" s="12" t="s">
        <v>946</v>
      </c>
      <c r="AY4" s="12"/>
      <c r="AZ4" s="129"/>
      <c r="BB4" s="91" t="s">
        <v>210</v>
      </c>
      <c r="BC4" s="91" t="s">
        <v>985</v>
      </c>
      <c r="BE4" s="126" t="e" cm="1">
        <f t="array" ref="BE4">_xlfn._xlws.FILTER(BC5:BC6,(BC5:BC6&lt;&gt;Outfitter!E30)*(Outfitter!B22&gt;0),"")</f>
        <v>#N/A</v>
      </c>
      <c r="BF4" s="126" t="e" cm="1">
        <f t="array" ref="BF4">_xlfn._xlws.FILTER(BC11:BC12,(BC11:BC12&lt;&gt;Outfitter!E42)*(Outfitter!B38&gt;0),"")</f>
        <v>#N/A</v>
      </c>
      <c r="BG4" s="126" t="e" cm="1">
        <f t="array" ref="BG4">_xlfn._xlws.FILTER(BC17:BC18,(BC17:BC18&lt;&gt;Outfitter!E36)*(Outfitter!B32&gt;0),"")</f>
        <v>#N/A</v>
      </c>
      <c r="BJ4" s="63" t="s">
        <v>997</v>
      </c>
      <c r="BK4" s="242" t="s">
        <v>1398</v>
      </c>
      <c r="BN4" s="154" t="str">
        <f t="shared" ref="BN4:BN67" si="3">CONCATENATE("L",RIGHT(BO4,1))</f>
        <v>LT</v>
      </c>
      <c r="BO4" s="12" t="s">
        <v>206</v>
      </c>
      <c r="BP4" s="12" t="s">
        <v>994</v>
      </c>
      <c r="BQ4" s="244" t="str">
        <f t="shared" ref="BQ4:BQ67" si="4">CONCATENATE("{[",BO4,"]:[",BP4,"]}")</f>
        <v>{[6_6T]:[BA01]}</v>
      </c>
      <c r="BR4" s="42" t="str">
        <f>VLOOKUP(BP4,$BJ$4:$BK$13,2,FALSE)</f>
        <v>Remo Ctd Amb Batter</v>
      </c>
      <c r="BT4" s="9" t="s">
        <v>1440</v>
      </c>
      <c r="BU4" s="9" t="s">
        <v>1005</v>
      </c>
      <c r="BV4" s="9" t="s">
        <v>1076</v>
      </c>
      <c r="BW4" s="9" t="s">
        <v>1077</v>
      </c>
      <c r="BY4" s="63" t="s">
        <v>999</v>
      </c>
      <c r="BZ4" s="18" t="s">
        <v>1413</v>
      </c>
      <c r="CB4" s="116"/>
      <c r="CC4" s="12" t="s">
        <v>55</v>
      </c>
      <c r="CD4" s="12" t="s">
        <v>45</v>
      </c>
      <c r="CE4" s="12" t="s">
        <v>999</v>
      </c>
      <c r="CF4" s="244" t="s">
        <v>1009</v>
      </c>
      <c r="CG4" s="42" t="s">
        <v>1413</v>
      </c>
      <c r="CI4" s="9" t="s">
        <v>1075</v>
      </c>
      <c r="CJ4" s="9" t="s">
        <v>1876</v>
      </c>
      <c r="CK4" s="9" t="s">
        <v>1877</v>
      </c>
      <c r="CL4" s="9" t="s">
        <v>1364</v>
      </c>
      <c r="CN4" s="12" t="s">
        <v>1084</v>
      </c>
      <c r="CO4" s="14" t="s">
        <v>211</v>
      </c>
      <c r="CQ4" t="s">
        <v>1091</v>
      </c>
      <c r="CT4" s="12" t="s">
        <v>1093</v>
      </c>
      <c r="CU4" s="91" t="str">
        <f>IF(CU10="Yes",CU7,"Left Side")</f>
        <v>Left Side</v>
      </c>
      <c r="CW4" s="126" t="str" cm="1">
        <f t="array" ref="CW4">_xlfn._xlws.FILTER(CU4:CU7,(CU4:CU7&lt;&gt;Outfitter!E28)*(Outfitter!B22&gt;0),"")</f>
        <v/>
      </c>
      <c r="CZ4" s="12" t="s">
        <v>1105</v>
      </c>
      <c r="DA4" s="42" t="s">
        <v>1106</v>
      </c>
      <c r="DD4" s="12" t="s">
        <v>16</v>
      </c>
      <c r="DE4" s="12" t="s">
        <v>1111</v>
      </c>
      <c r="DF4" s="168" t="s">
        <v>1112</v>
      </c>
      <c r="DI4" s="12" t="s">
        <v>18</v>
      </c>
      <c r="DJ4" s="12" t="s">
        <v>1111</v>
      </c>
      <c r="DK4" s="151" t="str">
        <f t="shared" ref="DK4:DK9" si="5">CONCATENATE("{[",DI4,"]:[",DJ4,"]}")</f>
        <v>{[LX]:[LGC]}</v>
      </c>
      <c r="DL4" s="42" t="s">
        <v>1112</v>
      </c>
      <c r="DM4" s="124" t="e" cm="1">
        <f t="array" ref="DM4">_xlfn._xlws.FILTER($DL$2:$DL$9,($DI$2:$DI$9=Outfitter!$AF$2)*($DL$2:$DL$9&lt;&gt;Outfitter!$E$29),"")</f>
        <v>#N/A</v>
      </c>
      <c r="DN4" s="9"/>
      <c r="DO4" s="9"/>
      <c r="DP4" s="9"/>
      <c r="DT4" s="88" t="s">
        <v>1096</v>
      </c>
      <c r="DU4" s="172" t="s">
        <v>1121</v>
      </c>
      <c r="DV4" s="129" t="s">
        <v>117</v>
      </c>
      <c r="DY4" s="12" t="s">
        <v>73</v>
      </c>
      <c r="DZ4" s="12" t="s">
        <v>1096</v>
      </c>
      <c r="EA4" s="129" t="s">
        <v>117</v>
      </c>
      <c r="EB4" s="126" t="str" cm="1">
        <f t="array" ref="EB4">_xlfn.UNIQUE(_xlfn._xlws.FILTER($EA$4:$EA$9,($EA$4:$EA$9&lt;&gt;Outfitter!$E$32)*(Outfitter!B32&gt;0),""))</f>
        <v/>
      </c>
      <c r="EC4" s="126" t="str" cm="1">
        <f t="array" ref="EC4">_xlfn.UNIQUE(_xlfn._xlws.FILTER($EA$4:$EA$9,($EA$4:$EA$9&lt;&gt;Outfitter!$E$38)*(Outfitter!B38&gt;0),""))</f>
        <v/>
      </c>
      <c r="ED4" s="126" t="str" cm="1">
        <f t="array" ref="ED4">_xlfn.UNIQUE(_xlfn._xlws.FILTER($EA$4:$EA$9,($EA$4:$EA$9&lt;&gt;Outfitter!$E$45)*(Outfitter!B44&gt;0),""))</f>
        <v/>
      </c>
      <c r="EH4" s="14" t="s">
        <v>1146</v>
      </c>
      <c r="EI4" s="152" t="s">
        <v>1147</v>
      </c>
      <c r="EM4" s="14" t="s">
        <v>878</v>
      </c>
      <c r="EN4" s="14" t="s">
        <v>1150</v>
      </c>
      <c r="EO4" s="126" t="str" cm="1">
        <f t="array" ref="EO4">_xlfn._xlws.FILTER(EN4:EN5,EN4:EN5&lt;&gt;Outfitter!E46,"")</f>
        <v>Pair Die Cast Hoops</v>
      </c>
      <c r="ER4" s="9" t="s">
        <v>1164</v>
      </c>
      <c r="ES4" t="s">
        <v>105</v>
      </c>
      <c r="ET4" s="126" t="str" cm="1">
        <f t="array" ref="ET4">_xlfn._xlws.FILTER(ES4:ES5,ES4:ES5&lt;&gt;Outfitter!E50,"")</f>
        <v/>
      </c>
    </row>
    <row r="5" spans="2:150" x14ac:dyDescent="0.3">
      <c r="B5" s="12" t="s">
        <v>904</v>
      </c>
      <c r="C5" s="91" t="s">
        <v>905</v>
      </c>
      <c r="D5" s="154" t="s">
        <v>1236</v>
      </c>
      <c r="G5" s="12" t="s">
        <v>15</v>
      </c>
      <c r="H5" s="12" t="s">
        <v>276</v>
      </c>
      <c r="I5" s="105" t="s">
        <v>1259</v>
      </c>
      <c r="J5" s="129" t="str">
        <f t="shared" si="0"/>
        <v>Matching Hoop w/Accent</v>
      </c>
      <c r="K5" s="3"/>
      <c r="L5" s="129"/>
      <c r="O5" s="13" t="s">
        <v>330</v>
      </c>
      <c r="P5" s="12" t="s">
        <v>902</v>
      </c>
      <c r="Q5" s="129" t="str">
        <f t="shared" si="1"/>
        <v>Satin Sable w/Inlay</v>
      </c>
      <c r="T5" s="15" t="s">
        <v>333</v>
      </c>
      <c r="U5" s="92" t="s">
        <v>334</v>
      </c>
      <c r="X5" s="14" t="s">
        <v>66</v>
      </c>
      <c r="Y5" s="13" t="s">
        <v>333</v>
      </c>
      <c r="Z5" s="129" t="str">
        <f t="shared" ref="Z5:Z36" si="6">INDEX($U$3:$U$80,MATCH(Y5,$T$3:$T$80,0))</f>
        <v>Black Cortex</v>
      </c>
      <c r="AD5" s="144"/>
      <c r="AE5" s="13" t="s">
        <v>275</v>
      </c>
      <c r="AF5" s="15" t="s">
        <v>382</v>
      </c>
      <c r="AG5" s="129" t="str">
        <f t="shared" si="2"/>
        <v>Vintage White Marine</v>
      </c>
      <c r="AK5" s="9" t="s">
        <v>948</v>
      </c>
      <c r="AL5" s="64" t="s">
        <v>1340</v>
      </c>
      <c r="AO5" s="14" t="s">
        <v>561</v>
      </c>
      <c r="AP5" s="14" t="s">
        <v>45</v>
      </c>
      <c r="AQ5" s="14" t="s">
        <v>518</v>
      </c>
      <c r="AR5" s="12" t="s">
        <v>946</v>
      </c>
      <c r="AS5" s="129" t="s">
        <v>1339</v>
      </c>
      <c r="AW5" s="12" t="s">
        <v>518</v>
      </c>
      <c r="AX5" s="12" t="s">
        <v>946</v>
      </c>
      <c r="AY5" s="12"/>
      <c r="AZ5" s="129"/>
      <c r="BB5" s="91" t="s">
        <v>561</v>
      </c>
      <c r="BC5" s="91" t="s">
        <v>986</v>
      </c>
      <c r="BJ5" s="63" t="s">
        <v>995</v>
      </c>
      <c r="BK5" s="243" t="s">
        <v>1399</v>
      </c>
      <c r="BN5" s="154" t="str">
        <f t="shared" si="3"/>
        <v>LT</v>
      </c>
      <c r="BO5" s="12" t="s">
        <v>132</v>
      </c>
      <c r="BP5" s="12" t="s">
        <v>994</v>
      </c>
      <c r="BQ5" s="244" t="str">
        <f t="shared" si="4"/>
        <v>{[7_6T]:[BA01]}</v>
      </c>
      <c r="BR5" s="42" t="str">
        <f t="shared" ref="BR5:BR68" si="7">VLOOKUP(BP5,$BJ$4:$BK$13,2,FALSE)</f>
        <v>Remo Ctd Amb Batter</v>
      </c>
      <c r="BT5" s="126" t="str" cm="1">
        <f t="array" ref="BT5">_xlfn.UNIQUE(_xlfn._xlws.FILTER(BR4:BR386,(BN4:BN386="LB")*(BR4:BR386&lt;&gt;Outfitter!E26)*(Outfitter!B22&gt;0),""))</f>
        <v/>
      </c>
      <c r="BU5" s="126" t="str" cm="1">
        <f t="array" ref="BU5">_xlfn.UNIQUE(_xlfn._xlws.FILTER(BR4:BR386,(BN4:BN386="LT")*(BR4:BR386&lt;&gt;Outfitter!E33)*(Outfitter!B32&gt;0),""))</f>
        <v/>
      </c>
      <c r="BV5" s="126" t="str" cm="1">
        <f t="array" ref="BV5">_xlfn.UNIQUE(_xlfn._xlws.FILTER(BR4:BR386,(BN4:BN386="LF")*(BR4:BR386&lt;&gt;Outfitter!E39)*(Outfitter!B38&gt;0),""))</f>
        <v/>
      </c>
      <c r="BW5" s="126" t="str" cm="1">
        <f t="array" ref="BW5">_xlfn.UNIQUE(_xlfn._xlws.FILTER(BR4:BR386,(BN4:BN386="LS")*(BR4:BR386&lt;&gt;Outfitter!E47)*(Outfitter!B44&gt;0),""))</f>
        <v/>
      </c>
      <c r="BY5" s="63" t="s">
        <v>1000</v>
      </c>
      <c r="BZ5" s="18" t="s">
        <v>1414</v>
      </c>
      <c r="CB5" s="116"/>
      <c r="CC5" s="12" t="s">
        <v>55</v>
      </c>
      <c r="CD5" s="12" t="s">
        <v>49</v>
      </c>
      <c r="CE5" s="12" t="s">
        <v>999</v>
      </c>
      <c r="CF5" s="244" t="s">
        <v>1010</v>
      </c>
      <c r="CG5" s="42" t="s">
        <v>1413</v>
      </c>
      <c r="CI5" s="126" t="str" cm="1">
        <f t="array" ref="CI5">_xlfn.UNIQUE(_xlfn._xlws.FILTER(CG4:CG525,(CC4:CC525="B")*(CG4:CG525&lt;&gt;Outfitter!E25)*(Outfitter!B22&gt;0),""))</f>
        <v/>
      </c>
      <c r="CJ5" s="237" t="str" cm="1">
        <f t="array" ref="CJ5">_xlfn.UNIQUE(_xlfn._xlws.FILTER(CG4:CG525,(CC4:CC525="T")*(CG4:CG525&lt;&gt;Outfitter!E34)*(Outfitter!B32&gt;0),""))</f>
        <v/>
      </c>
      <c r="CK5" s="237" t="str" cm="1">
        <f t="array" ref="CK5">_xlfn.UNIQUE(_xlfn._xlws.FILTER(CG4:CG525,(CC4:CC525="F")*(CG4:CG525&lt;&gt;Outfitter!E40)*(Outfitter!B38&gt;0),""))</f>
        <v/>
      </c>
      <c r="CL5" s="237" t="str" cm="1">
        <f t="array" ref="CL5">_xlfn.UNIQUE(_xlfn._xlws.FILTER(CG4:CG525,(CC4:CC525="S")*(CG4:CG525&lt;&gt;Outfitter!BN24)*(CG4:CG525&lt;&gt;Outfitter!BN25)*(CG4:CG525&lt;&gt;Outfitter!BN26)*(CG4:CG525&lt;&gt;Outfitter!E48)*(Outfitter!B44&gt;0),""))</f>
        <v/>
      </c>
      <c r="CN5" s="12" t="s">
        <v>1085</v>
      </c>
      <c r="CO5" s="12" t="s">
        <v>115</v>
      </c>
      <c r="CQ5" s="126" t="str" cm="1">
        <f t="array" ref="CQ5">_xlfn._xlws.FILTER(CO5:CO6,(CO5:CO6&lt;&gt;CO14)*(Outfitter!B22&gt;0),"")</f>
        <v/>
      </c>
      <c r="CT5" s="12" t="s">
        <v>1094</v>
      </c>
      <c r="CU5" s="91" t="str">
        <f>IF(CU10 = "YES",CU7,"Right Side")</f>
        <v>Right Side</v>
      </c>
      <c r="CZ5" s="12" t="s">
        <v>1107</v>
      </c>
      <c r="DA5" s="42" t="s">
        <v>1108</v>
      </c>
      <c r="DD5" s="12" t="s">
        <v>18</v>
      </c>
      <c r="DE5" s="12" t="s">
        <v>1111</v>
      </c>
      <c r="DF5" s="168" t="s">
        <v>1112</v>
      </c>
      <c r="DI5" s="12" t="s">
        <v>15</v>
      </c>
      <c r="DJ5" s="12" t="s">
        <v>1105</v>
      </c>
      <c r="DK5" s="151" t="str">
        <f t="shared" si="5"/>
        <v>{[L8]:[S45]}</v>
      </c>
      <c r="DL5" s="42" t="s">
        <v>1106</v>
      </c>
      <c r="DM5" s="9"/>
      <c r="DN5" s="9"/>
      <c r="DO5" s="9"/>
      <c r="DP5" s="9"/>
      <c r="DT5" s="12" t="s">
        <v>1085</v>
      </c>
      <c r="DU5" s="22" t="s">
        <v>1122</v>
      </c>
      <c r="DV5" s="129" t="s">
        <v>1126</v>
      </c>
      <c r="DY5" s="12" t="s">
        <v>24</v>
      </c>
      <c r="DZ5" s="12" t="s">
        <v>1096</v>
      </c>
      <c r="EA5" s="129" t="s">
        <v>117</v>
      </c>
      <c r="EH5" s="14" t="s">
        <v>1142</v>
      </c>
      <c r="EI5" s="4" t="s">
        <v>1143</v>
      </c>
      <c r="EM5" s="14" t="s">
        <v>880</v>
      </c>
      <c r="EN5" s="14" t="str">
        <f>IF(SUM(Outfitter!BG8:BG20)&gt;0,"Triple Flanged Hoops","Pair Die Cast Hoops")</f>
        <v>Pair Die Cast Hoops</v>
      </c>
      <c r="ER5" s="9">
        <v>1964</v>
      </c>
      <c r="ES5" t="str">
        <f>IF(AND(Outfitter!AK50="Yes",Outfitter!AM50="No"),"Vintage 63","Phonic")</f>
        <v>Phonic</v>
      </c>
    </row>
    <row r="6" spans="2:150" x14ac:dyDescent="0.3">
      <c r="B6" s="12" t="s">
        <v>26</v>
      </c>
      <c r="C6" s="22" t="s">
        <v>906</v>
      </c>
      <c r="D6" s="154" t="s">
        <v>1237</v>
      </c>
      <c r="G6" s="12" t="s">
        <v>15</v>
      </c>
      <c r="H6" s="12" t="s">
        <v>276</v>
      </c>
      <c r="I6" s="12" t="s">
        <v>309</v>
      </c>
      <c r="J6" s="129" t="str">
        <f t="shared" si="0"/>
        <v>Natural Hoop</v>
      </c>
      <c r="K6" s="3"/>
      <c r="L6" s="129"/>
      <c r="O6" s="13" t="s">
        <v>284</v>
      </c>
      <c r="P6" s="12" t="s">
        <v>60</v>
      </c>
      <c r="Q6" s="129" t="str">
        <f t="shared" si="1"/>
        <v>Matching Hoop</v>
      </c>
      <c r="T6" s="15" t="s">
        <v>931</v>
      </c>
      <c r="U6" s="92" t="s">
        <v>936</v>
      </c>
      <c r="X6" s="14" t="s">
        <v>66</v>
      </c>
      <c r="Y6" s="13" t="s">
        <v>931</v>
      </c>
      <c r="Z6" s="129" t="str">
        <f t="shared" si="6"/>
        <v>Black Oyster Pearl</v>
      </c>
      <c r="AD6" s="144"/>
      <c r="AE6" s="15" t="s">
        <v>284</v>
      </c>
      <c r="AF6" s="15" t="s">
        <v>382</v>
      </c>
      <c r="AG6" s="129" t="str">
        <f t="shared" si="2"/>
        <v>Vintage White Marine</v>
      </c>
      <c r="AK6" s="12" t="s">
        <v>950</v>
      </c>
      <c r="AL6" s="22" t="s">
        <v>1341</v>
      </c>
      <c r="AO6" s="14" t="s">
        <v>561</v>
      </c>
      <c r="AP6" s="12" t="s">
        <v>45</v>
      </c>
      <c r="AQ6" s="14" t="s">
        <v>518</v>
      </c>
      <c r="AR6" s="12" t="s">
        <v>950</v>
      </c>
      <c r="AS6" s="129" t="s">
        <v>1341</v>
      </c>
      <c r="AW6" s="12" t="s">
        <v>16</v>
      </c>
      <c r="AX6" s="12" t="s">
        <v>946</v>
      </c>
      <c r="AY6" s="12"/>
      <c r="AZ6" s="129"/>
      <c r="BB6" s="91" t="s">
        <v>562</v>
      </c>
      <c r="BC6" s="91" t="e">
        <f>IF(OR(Outfitter!AK23 = FALSE,Outfitter!AK26 = FALSE,Outfitter!AF2&lt;&gt;"L8"),"Double Head","Single Head")</f>
        <v>#N/A</v>
      </c>
      <c r="BJ6" s="63" t="s">
        <v>996</v>
      </c>
      <c r="BK6" s="242" t="s">
        <v>1400</v>
      </c>
      <c r="BN6" s="154" t="str">
        <f t="shared" si="3"/>
        <v>LT</v>
      </c>
      <c r="BO6" s="12" t="s">
        <v>133</v>
      </c>
      <c r="BP6" s="12" t="s">
        <v>994</v>
      </c>
      <c r="BQ6" s="244" t="str">
        <f t="shared" si="4"/>
        <v>{[8_6T]:[BA01]}</v>
      </c>
      <c r="BR6" s="42" t="str">
        <f t="shared" si="7"/>
        <v>Remo Ctd Amb Batter</v>
      </c>
      <c r="BY6" s="63" t="s">
        <v>1003</v>
      </c>
      <c r="BZ6" s="18" t="s">
        <v>1415</v>
      </c>
      <c r="CB6" s="116"/>
      <c r="CC6" s="12" t="s">
        <v>55</v>
      </c>
      <c r="CD6" s="12" t="s">
        <v>51</v>
      </c>
      <c r="CE6" s="12" t="s">
        <v>999</v>
      </c>
      <c r="CF6" s="244" t="s">
        <v>1011</v>
      </c>
      <c r="CG6" s="42" t="s">
        <v>1413</v>
      </c>
      <c r="CN6" s="12" t="s">
        <v>70</v>
      </c>
      <c r="CO6" s="12" t="str">
        <f>IF(Outfitter!AK23=FALSE,CO14,CO15)</f>
        <v>T-Handles</v>
      </c>
      <c r="CT6" s="12" t="s">
        <v>1095</v>
      </c>
      <c r="CU6" s="91" t="str">
        <f>IF(CU10="YES",CU7,"Left and Right")</f>
        <v>Left and Right</v>
      </c>
      <c r="CZ6" s="12" t="s">
        <v>1109</v>
      </c>
      <c r="DA6" s="42" t="s">
        <v>1110</v>
      </c>
      <c r="DD6" s="12" t="s">
        <v>15</v>
      </c>
      <c r="DE6" s="12" t="s">
        <v>1105</v>
      </c>
      <c r="DF6" s="168" t="s">
        <v>1106</v>
      </c>
      <c r="DI6" s="12" t="s">
        <v>15</v>
      </c>
      <c r="DJ6" s="12" t="s">
        <v>1107</v>
      </c>
      <c r="DK6" s="151" t="str">
        <f t="shared" si="5"/>
        <v>{[L8]:[D45]}</v>
      </c>
      <c r="DL6" s="42" t="s">
        <v>1108</v>
      </c>
      <c r="DT6" s="12" t="s">
        <v>55</v>
      </c>
      <c r="DU6" s="22" t="s">
        <v>1123</v>
      </c>
      <c r="DV6" s="129" t="s">
        <v>1127</v>
      </c>
      <c r="DY6" s="12" t="s">
        <v>52</v>
      </c>
      <c r="DZ6" s="12" t="s">
        <v>1096</v>
      </c>
      <c r="EA6" s="129" t="s">
        <v>117</v>
      </c>
      <c r="EH6" s="14" t="s">
        <v>1144</v>
      </c>
      <c r="EI6" s="152" t="s">
        <v>1145</v>
      </c>
    </row>
    <row r="7" spans="2:150" x14ac:dyDescent="0.3">
      <c r="B7" s="12" t="s">
        <v>321</v>
      </c>
      <c r="C7" s="22" t="s">
        <v>63</v>
      </c>
      <c r="D7" s="154" t="s">
        <v>1237</v>
      </c>
      <c r="G7" s="12" t="s">
        <v>18</v>
      </c>
      <c r="H7" s="12" t="s">
        <v>276</v>
      </c>
      <c r="I7" s="12" t="s">
        <v>60</v>
      </c>
      <c r="J7" s="129" t="str">
        <f t="shared" si="0"/>
        <v>Matching Hoop</v>
      </c>
      <c r="K7" s="3"/>
      <c r="L7" s="129"/>
      <c r="O7" s="13" t="s">
        <v>279</v>
      </c>
      <c r="P7" s="12" t="s">
        <v>60</v>
      </c>
      <c r="Q7" s="129" t="str">
        <f t="shared" si="1"/>
        <v>Matching Hoop</v>
      </c>
      <c r="T7" s="15" t="s">
        <v>335</v>
      </c>
      <c r="U7" s="92" t="s">
        <v>336</v>
      </c>
      <c r="X7" s="14" t="s">
        <v>66</v>
      </c>
      <c r="Y7" s="15" t="s">
        <v>335</v>
      </c>
      <c r="Z7" s="129" t="str">
        <f t="shared" si="6"/>
        <v>Blue Olive Oyster</v>
      </c>
      <c r="AD7" s="144"/>
      <c r="AE7" s="13" t="s">
        <v>287</v>
      </c>
      <c r="AF7" s="13" t="s">
        <v>373</v>
      </c>
      <c r="AG7" s="129" t="str">
        <f t="shared" si="2"/>
        <v>Silver Sparkle</v>
      </c>
      <c r="AK7" s="12" t="s">
        <v>952</v>
      </c>
      <c r="AL7" s="22" t="s">
        <v>1342</v>
      </c>
      <c r="AO7" s="14" t="s">
        <v>561</v>
      </c>
      <c r="AP7" s="14" t="s">
        <v>45</v>
      </c>
      <c r="AQ7" s="14" t="s">
        <v>518</v>
      </c>
      <c r="AR7" s="12" t="s">
        <v>954</v>
      </c>
      <c r="AS7" s="129" t="s">
        <v>1343</v>
      </c>
      <c r="AW7" s="12" t="s">
        <v>24</v>
      </c>
      <c r="AX7" s="16" t="s">
        <v>954</v>
      </c>
      <c r="AY7" s="36"/>
      <c r="AZ7" s="129"/>
      <c r="BJ7" s="63" t="s">
        <v>994</v>
      </c>
      <c r="BK7" s="242" t="s">
        <v>1401</v>
      </c>
      <c r="BN7" s="154" t="str">
        <f t="shared" si="3"/>
        <v>LT</v>
      </c>
      <c r="BO7" s="12" t="s">
        <v>207</v>
      </c>
      <c r="BP7" s="12" t="s">
        <v>994</v>
      </c>
      <c r="BQ7" s="244" t="str">
        <f t="shared" si="4"/>
        <v>{[6_8T]:[BA01]}</v>
      </c>
      <c r="BR7" s="42" t="str">
        <f t="shared" si="7"/>
        <v>Remo Ctd Amb Batter</v>
      </c>
      <c r="BY7" s="63" t="s">
        <v>995</v>
      </c>
      <c r="BZ7" s="18" t="s">
        <v>1416</v>
      </c>
      <c r="CB7" s="116"/>
      <c r="CC7" s="12" t="s">
        <v>55</v>
      </c>
      <c r="CD7" s="12" t="s">
        <v>54</v>
      </c>
      <c r="CE7" s="12" t="s">
        <v>999</v>
      </c>
      <c r="CF7" s="244" t="s">
        <v>1012</v>
      </c>
      <c r="CG7" s="42" t="s">
        <v>1413</v>
      </c>
      <c r="CT7" s="12" t="s">
        <v>1096</v>
      </c>
      <c r="CU7" s="77" t="s">
        <v>1097</v>
      </c>
      <c r="CZ7" s="12" t="s">
        <v>1111</v>
      </c>
      <c r="DA7" s="42" t="s">
        <v>1112</v>
      </c>
      <c r="DD7" s="12" t="s">
        <v>17</v>
      </c>
      <c r="DE7" s="12" t="s">
        <v>1111</v>
      </c>
      <c r="DF7" s="168" t="s">
        <v>1112</v>
      </c>
      <c r="DI7" s="12" t="s">
        <v>15</v>
      </c>
      <c r="DJ7" s="12" t="s">
        <v>1109</v>
      </c>
      <c r="DK7" s="151" t="str">
        <f t="shared" si="5"/>
        <v>{[L8]:[RND]}</v>
      </c>
      <c r="DL7" s="42" t="s">
        <v>1110</v>
      </c>
      <c r="DV7" s="129"/>
      <c r="DY7" s="12" t="s">
        <v>73</v>
      </c>
      <c r="DZ7" s="12" t="s">
        <v>55</v>
      </c>
      <c r="EA7" s="129" t="s">
        <v>1127</v>
      </c>
    </row>
    <row r="8" spans="2:150" x14ac:dyDescent="0.3">
      <c r="B8" s="12" t="s">
        <v>907</v>
      </c>
      <c r="C8" s="22" t="s">
        <v>908</v>
      </c>
      <c r="D8" s="154" t="s">
        <v>1236</v>
      </c>
      <c r="G8" s="12" t="s">
        <v>18</v>
      </c>
      <c r="H8" s="12" t="s">
        <v>276</v>
      </c>
      <c r="I8" s="105" t="s">
        <v>1259</v>
      </c>
      <c r="J8" s="129" t="str">
        <f t="shared" si="0"/>
        <v>Matching Hoop w/Accent</v>
      </c>
      <c r="K8" s="3"/>
      <c r="L8" s="129"/>
      <c r="O8" s="13" t="s">
        <v>287</v>
      </c>
      <c r="P8" s="12" t="s">
        <v>914</v>
      </c>
      <c r="Q8" s="129" t="str">
        <f t="shared" si="1"/>
        <v>Satin Sable w/Accent</v>
      </c>
      <c r="T8" s="15" t="s">
        <v>337</v>
      </c>
      <c r="U8" s="92" t="s">
        <v>338</v>
      </c>
      <c r="X8" s="14" t="s">
        <v>66</v>
      </c>
      <c r="Y8" s="13" t="s">
        <v>337</v>
      </c>
      <c r="Z8" s="129" t="str">
        <f t="shared" si="6"/>
        <v>Blue Sparkle</v>
      </c>
      <c r="AD8" s="144"/>
      <c r="AE8" s="255" t="s">
        <v>288</v>
      </c>
      <c r="AF8" s="256" t="s">
        <v>382</v>
      </c>
      <c r="AG8" s="129" t="str">
        <f t="shared" si="2"/>
        <v>Vintage White Marine</v>
      </c>
      <c r="AK8" s="12" t="s">
        <v>954</v>
      </c>
      <c r="AL8" s="22" t="s">
        <v>1343</v>
      </c>
      <c r="AO8" s="14" t="s">
        <v>561</v>
      </c>
      <c r="AP8" s="14" t="s">
        <v>45</v>
      </c>
      <c r="AQ8" s="14" t="s">
        <v>16</v>
      </c>
      <c r="AR8" s="12" t="s">
        <v>946</v>
      </c>
      <c r="AS8" s="129" t="s">
        <v>1339</v>
      </c>
      <c r="AW8" s="12" t="s">
        <v>23</v>
      </c>
      <c r="AX8" s="16" t="s">
        <v>954</v>
      </c>
      <c r="AY8" s="36"/>
      <c r="AZ8" s="129"/>
      <c r="BJ8" s="63" t="s">
        <v>1396</v>
      </c>
      <c r="BK8" s="242" t="s">
        <v>1402</v>
      </c>
      <c r="BN8" s="154" t="str">
        <f t="shared" si="3"/>
        <v>LT</v>
      </c>
      <c r="BO8" s="12" t="s">
        <v>134</v>
      </c>
      <c r="BP8" s="12" t="s">
        <v>994</v>
      </c>
      <c r="BQ8" s="244" t="str">
        <f t="shared" si="4"/>
        <v>{[7_8T]:[BA01]}</v>
      </c>
      <c r="BR8" s="42" t="str">
        <f t="shared" si="7"/>
        <v>Remo Ctd Amb Batter</v>
      </c>
      <c r="BY8" s="63" t="s">
        <v>1365</v>
      </c>
      <c r="BZ8" s="18" t="s">
        <v>1417</v>
      </c>
      <c r="CB8" s="116"/>
      <c r="CC8" s="12" t="s">
        <v>55</v>
      </c>
      <c r="CD8" s="12" t="s">
        <v>58</v>
      </c>
      <c r="CE8" s="12" t="s">
        <v>999</v>
      </c>
      <c r="CF8" s="244" t="s">
        <v>1013</v>
      </c>
      <c r="CG8" s="42" t="s">
        <v>1413</v>
      </c>
      <c r="CZ8" s="9"/>
      <c r="DD8" s="16" t="s">
        <v>19</v>
      </c>
      <c r="DE8" s="12" t="s">
        <v>1107</v>
      </c>
      <c r="DF8" s="168" t="s">
        <v>1108</v>
      </c>
      <c r="DI8" s="12" t="s">
        <v>17</v>
      </c>
      <c r="DJ8" s="12" t="s">
        <v>1111</v>
      </c>
      <c r="DK8" s="151" t="str">
        <f t="shared" si="5"/>
        <v>{[LM]:[LGC]}</v>
      </c>
      <c r="DL8" s="42" t="s">
        <v>1112</v>
      </c>
      <c r="DY8" s="12" t="s">
        <v>24</v>
      </c>
      <c r="DZ8" s="12" t="s">
        <v>55</v>
      </c>
      <c r="EA8" s="129" t="s">
        <v>1127</v>
      </c>
    </row>
    <row r="9" spans="2:150" x14ac:dyDescent="0.3">
      <c r="B9" s="12" t="s">
        <v>909</v>
      </c>
      <c r="C9" s="22" t="s">
        <v>1260</v>
      </c>
      <c r="D9" s="154" t="s">
        <v>1236</v>
      </c>
      <c r="G9" s="12" t="s">
        <v>18</v>
      </c>
      <c r="H9" s="12" t="s">
        <v>276</v>
      </c>
      <c r="I9" s="12" t="s">
        <v>309</v>
      </c>
      <c r="J9" s="129" t="str">
        <f t="shared" si="0"/>
        <v>Natural Hoop</v>
      </c>
      <c r="K9" s="3"/>
      <c r="L9" s="129"/>
      <c r="O9" s="13" t="s">
        <v>333</v>
      </c>
      <c r="P9" s="12" t="s">
        <v>60</v>
      </c>
      <c r="Q9" s="129" t="str">
        <f t="shared" si="1"/>
        <v>Matching Hoop</v>
      </c>
      <c r="T9" s="15" t="s">
        <v>283</v>
      </c>
      <c r="U9" s="92" t="s">
        <v>1348</v>
      </c>
      <c r="X9" s="14" t="s">
        <v>66</v>
      </c>
      <c r="Y9" s="13" t="s">
        <v>283</v>
      </c>
      <c r="Z9" s="129" t="str">
        <f t="shared" si="6"/>
        <v>Blue Super Sparkle</v>
      </c>
      <c r="AD9" s="144"/>
      <c r="AE9" s="255" t="s">
        <v>290</v>
      </c>
      <c r="AF9" s="256" t="s">
        <v>382</v>
      </c>
      <c r="AG9" s="129" t="str">
        <f t="shared" si="2"/>
        <v>Vintage White Marine</v>
      </c>
      <c r="AK9" s="12"/>
      <c r="AL9" s="22"/>
      <c r="AO9" s="14" t="s">
        <v>561</v>
      </c>
      <c r="AP9" s="12" t="s">
        <v>45</v>
      </c>
      <c r="AQ9" s="14" t="s">
        <v>16</v>
      </c>
      <c r="AR9" s="12" t="s">
        <v>950</v>
      </c>
      <c r="AS9" s="129" t="s">
        <v>1341</v>
      </c>
      <c r="AW9" s="12"/>
      <c r="AX9" s="12"/>
      <c r="AY9" s="12"/>
      <c r="AZ9" s="129"/>
      <c r="BB9" s="91" t="s">
        <v>990</v>
      </c>
      <c r="BJ9" s="63" t="s">
        <v>1403</v>
      </c>
      <c r="BK9" s="242" t="s">
        <v>1404</v>
      </c>
      <c r="BN9" s="154" t="str">
        <f t="shared" si="3"/>
        <v>LT</v>
      </c>
      <c r="BO9" s="12" t="s">
        <v>136</v>
      </c>
      <c r="BP9" s="12" t="s">
        <v>994</v>
      </c>
      <c r="BQ9" s="244" t="str">
        <f t="shared" si="4"/>
        <v>{[8_8T]:[BA01]}</v>
      </c>
      <c r="BR9" s="42" t="str">
        <f t="shared" si="7"/>
        <v>Remo Ctd Amb Batter</v>
      </c>
      <c r="BY9" s="63" t="s">
        <v>1377</v>
      </c>
      <c r="BZ9" s="18" t="s">
        <v>1418</v>
      </c>
      <c r="CB9" s="116"/>
      <c r="CC9" s="12" t="s">
        <v>55</v>
      </c>
      <c r="CD9" s="12" t="s">
        <v>62</v>
      </c>
      <c r="CE9" s="12" t="s">
        <v>999</v>
      </c>
      <c r="CF9" s="244" t="s">
        <v>1014</v>
      </c>
      <c r="CG9" s="42" t="s">
        <v>1413</v>
      </c>
      <c r="CZ9" s="9"/>
      <c r="DF9" s="129"/>
      <c r="DI9" s="16" t="s">
        <v>19</v>
      </c>
      <c r="DJ9" s="12" t="s">
        <v>1107</v>
      </c>
      <c r="DK9" s="151" t="str">
        <f t="shared" si="5"/>
        <v>{[LO]:[D45]}</v>
      </c>
      <c r="DL9" s="42" t="s">
        <v>1108</v>
      </c>
      <c r="DY9" s="12" t="s">
        <v>52</v>
      </c>
      <c r="DZ9" s="12" t="s">
        <v>55</v>
      </c>
      <c r="EA9" s="129" t="s">
        <v>1127</v>
      </c>
    </row>
    <row r="10" spans="2:150" x14ac:dyDescent="0.3">
      <c r="B10" s="12" t="s">
        <v>60</v>
      </c>
      <c r="C10" s="22" t="s">
        <v>910</v>
      </c>
      <c r="D10" s="154" t="s">
        <v>1237</v>
      </c>
      <c r="G10" s="12" t="s">
        <v>15</v>
      </c>
      <c r="H10" s="12" t="s">
        <v>330</v>
      </c>
      <c r="I10" s="12" t="s">
        <v>902</v>
      </c>
      <c r="J10" s="129" t="str">
        <f t="shared" si="0"/>
        <v>Satin Sable w/Inlay</v>
      </c>
      <c r="K10" s="3"/>
      <c r="L10" s="129"/>
      <c r="O10" s="13" t="s">
        <v>931</v>
      </c>
      <c r="P10" s="12" t="s">
        <v>902</v>
      </c>
      <c r="Q10" s="129" t="str">
        <f t="shared" si="1"/>
        <v>Satin Sable w/Inlay</v>
      </c>
      <c r="T10" s="15" t="s">
        <v>1349</v>
      </c>
      <c r="U10" s="92" t="s">
        <v>1350</v>
      </c>
      <c r="X10" s="14" t="s">
        <v>66</v>
      </c>
      <c r="Y10" s="13" t="s">
        <v>1349</v>
      </c>
      <c r="Z10" s="129" t="str">
        <f t="shared" si="6"/>
        <v>Butterscotch Pearl</v>
      </c>
      <c r="AD10" s="144"/>
      <c r="AE10" s="15" t="s">
        <v>292</v>
      </c>
      <c r="AF10" s="15" t="s">
        <v>382</v>
      </c>
      <c r="AG10" s="129" t="str">
        <f t="shared" si="2"/>
        <v>Vintage White Marine</v>
      </c>
      <c r="AO10" s="14" t="s">
        <v>561</v>
      </c>
      <c r="AP10" s="14" t="s">
        <v>45</v>
      </c>
      <c r="AQ10" s="14" t="s">
        <v>16</v>
      </c>
      <c r="AR10" s="12" t="s">
        <v>954</v>
      </c>
      <c r="AS10" s="129" t="s">
        <v>1343</v>
      </c>
      <c r="AW10" s="12"/>
      <c r="AX10" s="12"/>
      <c r="AY10" s="12"/>
      <c r="AZ10" s="129"/>
      <c r="BB10" s="91" t="s">
        <v>210</v>
      </c>
      <c r="BC10" s="91" t="s">
        <v>985</v>
      </c>
      <c r="BJ10" s="63" t="s">
        <v>1405</v>
      </c>
      <c r="BK10" s="42" t="s">
        <v>1406</v>
      </c>
      <c r="BN10" s="154" t="str">
        <f t="shared" si="3"/>
        <v>LT</v>
      </c>
      <c r="BO10" s="12" t="s">
        <v>137</v>
      </c>
      <c r="BP10" s="12" t="s">
        <v>994</v>
      </c>
      <c r="BQ10" s="244" t="str">
        <f t="shared" si="4"/>
        <v>{[7_10T]:[BA01]}</v>
      </c>
      <c r="BR10" s="42" t="str">
        <f t="shared" si="7"/>
        <v>Remo Ctd Amb Batter</v>
      </c>
      <c r="BY10" s="63" t="s">
        <v>1004</v>
      </c>
      <c r="BZ10" s="242" t="s">
        <v>1419</v>
      </c>
      <c r="CB10" s="116"/>
      <c r="CC10" s="12" t="s">
        <v>55</v>
      </c>
      <c r="CD10" s="12" t="s">
        <v>64</v>
      </c>
      <c r="CE10" s="12" t="s">
        <v>999</v>
      </c>
      <c r="CF10" s="244" t="s">
        <v>1015</v>
      </c>
      <c r="CG10" s="42" t="s">
        <v>1413</v>
      </c>
      <c r="CT10" s="10" t="s">
        <v>1101</v>
      </c>
      <c r="CU10" t="str">
        <f>IF(OR(ISERROR(MATCH("LR2980MT",Outfitter!AK8:AK20,0))=FALSE,ISERROR(MATCH("LAP2984MT",Outfitter!AK8:AK20,0))=FALSE),"YES","NO")</f>
        <v>NO</v>
      </c>
    </row>
    <row r="11" spans="2:150" x14ac:dyDescent="0.3">
      <c r="B11" s="12" t="s">
        <v>309</v>
      </c>
      <c r="C11" s="22" t="s">
        <v>911</v>
      </c>
      <c r="D11" s="154" t="s">
        <v>1237</v>
      </c>
      <c r="G11" s="12" t="s">
        <v>15</v>
      </c>
      <c r="H11" s="12" t="s">
        <v>330</v>
      </c>
      <c r="I11" s="12" t="s">
        <v>904</v>
      </c>
      <c r="J11" s="129" t="str">
        <f t="shared" si="0"/>
        <v>Satin Natural w/Inlay</v>
      </c>
      <c r="K11" s="3"/>
      <c r="L11" s="129"/>
      <c r="O11" s="13" t="s">
        <v>204</v>
      </c>
      <c r="P11" s="12" t="s">
        <v>902</v>
      </c>
      <c r="Q11" s="129" t="str">
        <f t="shared" si="1"/>
        <v>Satin Sable w/Inlay</v>
      </c>
      <c r="T11" s="15" t="s">
        <v>339</v>
      </c>
      <c r="U11" s="92" t="s">
        <v>340</v>
      </c>
      <c r="X11" s="14" t="s">
        <v>66</v>
      </c>
      <c r="Y11" s="13" t="s">
        <v>339</v>
      </c>
      <c r="Z11" s="129" t="str">
        <f t="shared" si="6"/>
        <v>Citrus Mod</v>
      </c>
      <c r="AD11" s="144"/>
      <c r="AE11" s="13" t="s">
        <v>294</v>
      </c>
      <c r="AF11" s="15" t="s">
        <v>382</v>
      </c>
      <c r="AG11" s="129" t="str">
        <f t="shared" si="2"/>
        <v>Vintage White Marine</v>
      </c>
      <c r="AK11" s="36" t="s">
        <v>980</v>
      </c>
      <c r="AO11" s="14" t="s">
        <v>561</v>
      </c>
      <c r="AP11" s="14" t="s">
        <v>45</v>
      </c>
      <c r="AQ11" s="14" t="s">
        <v>22</v>
      </c>
      <c r="AR11" s="12" t="s">
        <v>952</v>
      </c>
      <c r="AS11" s="129" t="s">
        <v>1342</v>
      </c>
      <c r="AW11" s="12"/>
      <c r="AX11" s="12"/>
      <c r="AY11" s="12"/>
      <c r="AZ11" s="129"/>
      <c r="BB11" s="91" t="s">
        <v>561</v>
      </c>
      <c r="BC11" s="91" t="s">
        <v>986</v>
      </c>
      <c r="BJ11" s="63" t="s">
        <v>1407</v>
      </c>
      <c r="BK11" s="42" t="s">
        <v>1408</v>
      </c>
      <c r="BN11" s="154" t="str">
        <f t="shared" si="3"/>
        <v>LT</v>
      </c>
      <c r="BO11" s="12" t="s">
        <v>138</v>
      </c>
      <c r="BP11" s="12" t="s">
        <v>994</v>
      </c>
      <c r="BQ11" s="244" t="str">
        <f t="shared" si="4"/>
        <v>{[7H_10T]:[BA01]}</v>
      </c>
      <c r="BR11" s="42" t="str">
        <f t="shared" si="7"/>
        <v>Remo Ctd Amb Batter</v>
      </c>
      <c r="BY11" s="63" t="s">
        <v>1420</v>
      </c>
      <c r="BZ11" s="42" t="s">
        <v>1421</v>
      </c>
      <c r="CB11" s="116"/>
      <c r="CC11" s="12" t="s">
        <v>55</v>
      </c>
      <c r="CD11" s="12" t="s">
        <v>68</v>
      </c>
      <c r="CE11" s="12" t="s">
        <v>999</v>
      </c>
      <c r="CF11" s="244" t="s">
        <v>1016</v>
      </c>
      <c r="CG11" s="42" t="s">
        <v>1413</v>
      </c>
      <c r="CM11" s="36"/>
      <c r="CT11" s="10"/>
      <c r="DI11" s="17" t="s">
        <v>1332</v>
      </c>
    </row>
    <row r="12" spans="2:150" x14ac:dyDescent="0.3">
      <c r="B12" s="12" t="s">
        <v>912</v>
      </c>
      <c r="C12" s="22" t="s">
        <v>913</v>
      </c>
      <c r="D12" s="154" t="s">
        <v>1236</v>
      </c>
      <c r="G12" s="12" t="s">
        <v>15</v>
      </c>
      <c r="H12" s="12" t="s">
        <v>330</v>
      </c>
      <c r="I12" s="12" t="s">
        <v>26</v>
      </c>
      <c r="J12" s="129" t="str">
        <f t="shared" si="0"/>
        <v>Satin Sable</v>
      </c>
      <c r="K12" s="3"/>
      <c r="L12" s="129"/>
      <c r="O12" s="13" t="s">
        <v>288</v>
      </c>
      <c r="P12" s="12" t="s">
        <v>60</v>
      </c>
      <c r="Q12" s="129" t="str">
        <f t="shared" si="1"/>
        <v>Matching Hoop</v>
      </c>
      <c r="T12" s="15" t="s">
        <v>341</v>
      </c>
      <c r="U12" s="91" t="s">
        <v>342</v>
      </c>
      <c r="X12" s="14" t="s">
        <v>66</v>
      </c>
      <c r="Y12" s="13" t="s">
        <v>341</v>
      </c>
      <c r="Z12" s="129" t="str">
        <f t="shared" si="6"/>
        <v>Classic Olive Pearl</v>
      </c>
      <c r="AD12" s="144"/>
      <c r="AE12" s="13" t="s">
        <v>296</v>
      </c>
      <c r="AF12" s="15" t="s">
        <v>382</v>
      </c>
      <c r="AG12" s="129" t="str">
        <f t="shared" si="2"/>
        <v>Vintage White Marine</v>
      </c>
      <c r="AK12" s="36" t="s">
        <v>981</v>
      </c>
      <c r="AO12" s="14" t="s">
        <v>561</v>
      </c>
      <c r="AP12" s="14" t="s">
        <v>45</v>
      </c>
      <c r="AQ12" s="14" t="s">
        <v>22</v>
      </c>
      <c r="AR12" s="12" t="s">
        <v>946</v>
      </c>
      <c r="AS12" s="129" t="s">
        <v>1339</v>
      </c>
      <c r="AW12" s="36" t="s">
        <v>976</v>
      </c>
      <c r="AX12" s="12"/>
      <c r="AY12" s="36"/>
      <c r="AZ12" s="129"/>
      <c r="BB12" s="91" t="s">
        <v>562</v>
      </c>
      <c r="BC12" t="e" cm="1">
        <f t="array" ref="BC12">IF(OR(ISERROR(MATCH("LF"&amp;FALSE,Outfitter!AH8:AH20&amp;Outfitter!AO8:AO20,0))=FALSE,Outfitter!AF2&lt;&gt;"L8",SUM(Outfitter!BI8:BI20)&gt;0),"Double Head","Single Head")</f>
        <v>#N/A</v>
      </c>
      <c r="BJ12" s="63" t="s">
        <v>1409</v>
      </c>
      <c r="BK12" s="42" t="s">
        <v>1410</v>
      </c>
      <c r="BN12" s="154" t="str">
        <f t="shared" si="3"/>
        <v>LT</v>
      </c>
      <c r="BO12" s="12" t="s">
        <v>139</v>
      </c>
      <c r="BP12" s="12" t="s">
        <v>994</v>
      </c>
      <c r="BQ12" s="244" t="str">
        <f t="shared" si="4"/>
        <v>{[8_10T]:[BA01]}</v>
      </c>
      <c r="BR12" s="42" t="str">
        <f t="shared" si="7"/>
        <v>Remo Ctd Amb Batter</v>
      </c>
      <c r="BY12" s="63" t="s">
        <v>1422</v>
      </c>
      <c r="BZ12" s="42" t="s">
        <v>1423</v>
      </c>
      <c r="CB12" s="116"/>
      <c r="CC12" s="12" t="s">
        <v>55</v>
      </c>
      <c r="CD12" s="12" t="s">
        <v>67</v>
      </c>
      <c r="CE12" s="12" t="s">
        <v>999</v>
      </c>
      <c r="CF12" s="244" t="s">
        <v>1017</v>
      </c>
      <c r="CG12" s="42" t="s">
        <v>1413</v>
      </c>
      <c r="CT12" s="7" t="s">
        <v>1102</v>
      </c>
      <c r="DI12" s="12" t="s">
        <v>1131</v>
      </c>
    </row>
    <row r="13" spans="2:150" x14ac:dyDescent="0.3">
      <c r="B13" s="12" t="s">
        <v>914</v>
      </c>
      <c r="C13" s="22" t="s">
        <v>915</v>
      </c>
      <c r="D13" s="154" t="s">
        <v>1236</v>
      </c>
      <c r="G13" s="12" t="s">
        <v>15</v>
      </c>
      <c r="H13" s="12" t="s">
        <v>330</v>
      </c>
      <c r="I13" s="12" t="s">
        <v>914</v>
      </c>
      <c r="J13" s="129" t="str">
        <f t="shared" si="0"/>
        <v>Satin Sable w/Accent</v>
      </c>
      <c r="K13" s="3"/>
      <c r="L13" s="129"/>
      <c r="O13" s="13" t="s">
        <v>335</v>
      </c>
      <c r="P13" s="12" t="s">
        <v>902</v>
      </c>
      <c r="Q13" s="129" t="str">
        <f t="shared" si="1"/>
        <v>Satin Sable w/Inlay</v>
      </c>
      <c r="T13" s="15" t="s">
        <v>344</v>
      </c>
      <c r="U13" s="92" t="s">
        <v>345</v>
      </c>
      <c r="X13" s="14" t="s">
        <v>66</v>
      </c>
      <c r="Y13" s="13" t="s">
        <v>346</v>
      </c>
      <c r="Z13" s="129" t="str">
        <f t="shared" si="6"/>
        <v>Digital Blk Sprkl</v>
      </c>
      <c r="AD13" s="144"/>
      <c r="AE13" s="13" t="s">
        <v>298</v>
      </c>
      <c r="AF13" s="15" t="s">
        <v>382</v>
      </c>
      <c r="AG13" s="129" t="str">
        <f t="shared" ref="AG13:AG71" si="8">INDEX($U$4:$U$55,MATCH(AF13,$T$4:$T$55,0))</f>
        <v>Vintage White Marine</v>
      </c>
      <c r="AK13" s="48" t="s">
        <v>982</v>
      </c>
      <c r="AO13" s="14" t="s">
        <v>561</v>
      </c>
      <c r="AP13" s="12" t="s">
        <v>45</v>
      </c>
      <c r="AQ13" s="14" t="s">
        <v>22</v>
      </c>
      <c r="AR13" s="12" t="s">
        <v>950</v>
      </c>
      <c r="AS13" s="129" t="s">
        <v>1341</v>
      </c>
      <c r="AW13" s="36" t="s">
        <v>977</v>
      </c>
      <c r="AX13" s="12"/>
      <c r="AY13" s="77"/>
      <c r="AZ13" s="129"/>
      <c r="BJ13" s="63" t="s">
        <v>1411</v>
      </c>
      <c r="BK13" s="42" t="s">
        <v>1412</v>
      </c>
      <c r="BN13" s="154" t="str">
        <f t="shared" si="3"/>
        <v>LT</v>
      </c>
      <c r="BO13" s="12" t="s">
        <v>140</v>
      </c>
      <c r="BP13" s="12" t="s">
        <v>994</v>
      </c>
      <c r="BQ13" s="244" t="str">
        <f t="shared" si="4"/>
        <v>{[9_10T]:[BA01]}</v>
      </c>
      <c r="BR13" s="42" t="str">
        <f t="shared" si="7"/>
        <v>Remo Ctd Amb Batter</v>
      </c>
      <c r="BY13" s="63" t="s">
        <v>1424</v>
      </c>
      <c r="BZ13" s="42" t="s">
        <v>1425</v>
      </c>
      <c r="CB13" s="116"/>
      <c r="CC13" s="12" t="s">
        <v>55</v>
      </c>
      <c r="CD13" s="12" t="s">
        <v>71</v>
      </c>
      <c r="CE13" s="12" t="s">
        <v>999</v>
      </c>
      <c r="CF13" s="244" t="s">
        <v>1018</v>
      </c>
      <c r="CG13" s="42" t="s">
        <v>1413</v>
      </c>
      <c r="CT13" s="9" t="s">
        <v>541</v>
      </c>
      <c r="CU13" s="4" t="s">
        <v>542</v>
      </c>
    </row>
    <row r="14" spans="2:150" x14ac:dyDescent="0.3">
      <c r="B14" s="105" t="s">
        <v>1259</v>
      </c>
      <c r="C14" s="22" t="s">
        <v>1270</v>
      </c>
      <c r="D14" s="154" t="s">
        <v>1236</v>
      </c>
      <c r="G14" s="12" t="s">
        <v>15</v>
      </c>
      <c r="H14" s="12" t="s">
        <v>330</v>
      </c>
      <c r="I14" s="12" t="s">
        <v>321</v>
      </c>
      <c r="J14" s="129" t="str">
        <f t="shared" si="0"/>
        <v>Satin Natural</v>
      </c>
      <c r="K14" s="3"/>
      <c r="L14" s="129"/>
      <c r="O14" s="13" t="s">
        <v>337</v>
      </c>
      <c r="P14" s="12" t="s">
        <v>902</v>
      </c>
      <c r="Q14" s="129" t="str">
        <f t="shared" ref="Q14:Q72" si="9">VLOOKUP(P14,$B$4:$C$15,2,FALSE)</f>
        <v>Satin Sable w/Inlay</v>
      </c>
      <c r="T14" s="15" t="s">
        <v>346</v>
      </c>
      <c r="U14" s="92" t="s">
        <v>347</v>
      </c>
      <c r="X14" s="40" t="s">
        <v>66</v>
      </c>
      <c r="Y14" s="141" t="s">
        <v>1884</v>
      </c>
      <c r="Z14" s="129" t="str">
        <f t="shared" si="6"/>
        <v>Ebony Pearl</v>
      </c>
      <c r="AD14" s="144"/>
      <c r="AE14" s="15" t="s">
        <v>299</v>
      </c>
      <c r="AF14" s="15" t="s">
        <v>382</v>
      </c>
      <c r="AG14" s="129" t="str">
        <f t="shared" si="8"/>
        <v>Vintage White Marine</v>
      </c>
      <c r="AK14" s="48" t="s">
        <v>983</v>
      </c>
      <c r="AO14" s="14" t="s">
        <v>561</v>
      </c>
      <c r="AP14" s="14" t="s">
        <v>45</v>
      </c>
      <c r="AQ14" s="14" t="s">
        <v>22</v>
      </c>
      <c r="AR14" s="12" t="s">
        <v>954</v>
      </c>
      <c r="AS14" s="129" t="s">
        <v>1343</v>
      </c>
      <c r="AW14" s="36" t="s">
        <v>978</v>
      </c>
      <c r="AX14" s="12"/>
      <c r="AY14" s="12"/>
      <c r="AZ14" s="129"/>
      <c r="BN14" s="154" t="str">
        <f t="shared" si="3"/>
        <v>LT</v>
      </c>
      <c r="BO14" s="12" t="s">
        <v>144</v>
      </c>
      <c r="BP14" s="12" t="s">
        <v>994</v>
      </c>
      <c r="BQ14" s="244" t="str">
        <f t="shared" si="4"/>
        <v>{[10_12T]:[BA01]}</v>
      </c>
      <c r="BR14" s="42" t="str">
        <f t="shared" si="7"/>
        <v>Remo Ctd Amb Batter</v>
      </c>
      <c r="BY14" s="63" t="s">
        <v>1426</v>
      </c>
      <c r="BZ14" s="42" t="s">
        <v>1427</v>
      </c>
      <c r="CB14" s="116"/>
      <c r="CC14" s="12" t="s">
        <v>55</v>
      </c>
      <c r="CD14" s="12" t="s">
        <v>74</v>
      </c>
      <c r="CE14" s="12" t="s">
        <v>999</v>
      </c>
      <c r="CF14" s="244" t="s">
        <v>1019</v>
      </c>
      <c r="CG14" s="42" t="s">
        <v>1413</v>
      </c>
      <c r="CN14" s="10" t="s">
        <v>1087</v>
      </c>
      <c r="CO14" s="12" t="s">
        <v>115</v>
      </c>
      <c r="CT14" s="9" t="s">
        <v>543</v>
      </c>
      <c r="CU14" s="4" t="s">
        <v>544</v>
      </c>
    </row>
    <row r="15" spans="2:150" x14ac:dyDescent="0.3">
      <c r="B15" s="12" t="s">
        <v>313</v>
      </c>
      <c r="C15" s="22" t="s">
        <v>919</v>
      </c>
      <c r="D15" s="154" t="s">
        <v>1237</v>
      </c>
      <c r="G15" s="12" t="s">
        <v>15</v>
      </c>
      <c r="H15" s="12" t="s">
        <v>330</v>
      </c>
      <c r="I15" s="12" t="s">
        <v>912</v>
      </c>
      <c r="J15" s="129" t="str">
        <f t="shared" si="0"/>
        <v>Satin Natural w/Accent</v>
      </c>
      <c r="K15" s="3"/>
      <c r="L15" s="129"/>
      <c r="O15" s="13" t="s">
        <v>283</v>
      </c>
      <c r="P15" s="12" t="s">
        <v>902</v>
      </c>
      <c r="Q15" s="129" t="str">
        <f t="shared" si="9"/>
        <v>Satin Sable w/Inlay</v>
      </c>
      <c r="T15" s="15" t="s">
        <v>1884</v>
      </c>
      <c r="U15" s="92" t="s">
        <v>1885</v>
      </c>
      <c r="X15" s="14" t="s">
        <v>66</v>
      </c>
      <c r="Y15" s="13" t="s">
        <v>350</v>
      </c>
      <c r="Z15" s="129" t="str">
        <f t="shared" si="6"/>
        <v>Glacier Blue</v>
      </c>
      <c r="AD15" s="144"/>
      <c r="AE15" s="255" t="s">
        <v>301</v>
      </c>
      <c r="AF15" s="256" t="s">
        <v>382</v>
      </c>
      <c r="AG15" s="129" t="str">
        <f t="shared" si="8"/>
        <v>Vintage White Marine</v>
      </c>
      <c r="AK15" s="48"/>
      <c r="AO15" s="14" t="s">
        <v>561</v>
      </c>
      <c r="AP15" s="12" t="s">
        <v>54</v>
      </c>
      <c r="AQ15" s="14" t="s">
        <v>518</v>
      </c>
      <c r="AR15" s="12" t="s">
        <v>952</v>
      </c>
      <c r="AS15" s="129" t="s">
        <v>1342</v>
      </c>
      <c r="AW15" s="36"/>
      <c r="AX15" s="12"/>
      <c r="AY15" s="12"/>
      <c r="AZ15" s="129"/>
      <c r="BB15" s="91" t="s">
        <v>989</v>
      </c>
      <c r="BN15" s="154" t="str">
        <f t="shared" si="3"/>
        <v>LT</v>
      </c>
      <c r="BO15" s="12" t="s">
        <v>146</v>
      </c>
      <c r="BP15" s="12" t="s">
        <v>994</v>
      </c>
      <c r="BQ15" s="244" t="str">
        <f t="shared" si="4"/>
        <v>{[11_12T]:[BA01]}</v>
      </c>
      <c r="BR15" s="42" t="str">
        <f t="shared" si="7"/>
        <v>Remo Ctd Amb Batter</v>
      </c>
      <c r="BY15" s="63" t="s">
        <v>1428</v>
      </c>
      <c r="BZ15" s="42" t="s">
        <v>1429</v>
      </c>
      <c r="CB15" s="116"/>
      <c r="CC15" s="12" t="s">
        <v>55</v>
      </c>
      <c r="CD15" s="12" t="s">
        <v>77</v>
      </c>
      <c r="CE15" s="12" t="s">
        <v>999</v>
      </c>
      <c r="CF15" s="244" t="s">
        <v>1020</v>
      </c>
      <c r="CG15" s="42" t="s">
        <v>1413</v>
      </c>
      <c r="CO15" s="12" t="s">
        <v>1086</v>
      </c>
      <c r="CT15" s="9" t="s">
        <v>547</v>
      </c>
      <c r="CU15" s="4" t="s">
        <v>548</v>
      </c>
    </row>
    <row r="16" spans="2:150" x14ac:dyDescent="0.3">
      <c r="D16" s="154"/>
      <c r="G16" s="12" t="s">
        <v>15</v>
      </c>
      <c r="H16" s="12" t="s">
        <v>330</v>
      </c>
      <c r="I16" s="12" t="s">
        <v>309</v>
      </c>
      <c r="J16" s="129" t="str">
        <f t="shared" si="0"/>
        <v>Natural Hoop</v>
      </c>
      <c r="K16" s="3"/>
      <c r="L16" s="129"/>
      <c r="O16" s="13" t="s">
        <v>290</v>
      </c>
      <c r="P16" s="12" t="s">
        <v>60</v>
      </c>
      <c r="Q16" s="129" t="str">
        <f t="shared" si="9"/>
        <v>Matching Hoop</v>
      </c>
      <c r="T16" s="15" t="s">
        <v>348</v>
      </c>
      <c r="U16" s="92" t="s">
        <v>349</v>
      </c>
      <c r="X16" s="14" t="s">
        <v>66</v>
      </c>
      <c r="Y16" s="13" t="s">
        <v>352</v>
      </c>
      <c r="Z16" s="129" t="str">
        <f t="shared" si="6"/>
        <v>Gold Sparkle</v>
      </c>
      <c r="AD16" s="144"/>
      <c r="AE16" s="13" t="s">
        <v>303</v>
      </c>
      <c r="AF16" s="15" t="s">
        <v>382</v>
      </c>
      <c r="AG16" s="129" t="str">
        <f t="shared" si="8"/>
        <v>Vintage White Marine</v>
      </c>
      <c r="AO16" s="14" t="s">
        <v>561</v>
      </c>
      <c r="AP16" s="12" t="s">
        <v>54</v>
      </c>
      <c r="AQ16" s="14" t="s">
        <v>518</v>
      </c>
      <c r="AR16" s="12" t="s">
        <v>946</v>
      </c>
      <c r="AS16" s="129" t="s">
        <v>1339</v>
      </c>
      <c r="AW16" s="12"/>
      <c r="AX16" s="12"/>
      <c r="AY16" s="12"/>
      <c r="AZ16" s="129"/>
      <c r="BB16" s="91" t="s">
        <v>210</v>
      </c>
      <c r="BC16" s="91" t="s">
        <v>985</v>
      </c>
      <c r="BN16" s="154" t="str">
        <f t="shared" si="3"/>
        <v>LT</v>
      </c>
      <c r="BO16" s="12" t="s">
        <v>141</v>
      </c>
      <c r="BP16" s="12" t="s">
        <v>994</v>
      </c>
      <c r="BQ16" s="244" t="str">
        <f t="shared" si="4"/>
        <v>{[8_12T]:[BA01]}</v>
      </c>
      <c r="BR16" s="42" t="str">
        <f t="shared" si="7"/>
        <v>Remo Ctd Amb Batter</v>
      </c>
      <c r="BY16" s="63" t="s">
        <v>1430</v>
      </c>
      <c r="BZ16" s="42" t="s">
        <v>1431</v>
      </c>
      <c r="CB16" s="116"/>
      <c r="CC16" s="12" t="s">
        <v>55</v>
      </c>
      <c r="CD16" s="12" t="s">
        <v>81</v>
      </c>
      <c r="CE16" s="12" t="s">
        <v>999</v>
      </c>
      <c r="CF16" s="244" t="s">
        <v>1021</v>
      </c>
      <c r="CG16" s="42" t="s">
        <v>1413</v>
      </c>
    </row>
    <row r="17" spans="7:98" x14ac:dyDescent="0.3">
      <c r="G17" s="12" t="s">
        <v>15</v>
      </c>
      <c r="H17" s="12" t="s">
        <v>330</v>
      </c>
      <c r="I17" s="12" t="s">
        <v>907</v>
      </c>
      <c r="J17" s="129" t="str">
        <f t="shared" si="0"/>
        <v>Natural w/Inlay</v>
      </c>
      <c r="K17" s="3"/>
      <c r="L17" s="129"/>
      <c r="O17" s="13" t="s">
        <v>280</v>
      </c>
      <c r="P17" s="12" t="s">
        <v>60</v>
      </c>
      <c r="Q17" s="129" t="str">
        <f t="shared" si="9"/>
        <v>Matching Hoop</v>
      </c>
      <c r="T17" s="15" t="s">
        <v>350</v>
      </c>
      <c r="U17" s="92" t="s">
        <v>351</v>
      </c>
      <c r="X17" s="14" t="s">
        <v>66</v>
      </c>
      <c r="Y17" s="13" t="s">
        <v>354</v>
      </c>
      <c r="Z17" s="129" t="str">
        <f t="shared" si="6"/>
        <v>Green Sparkle</v>
      </c>
      <c r="AD17" s="144"/>
      <c r="AE17" s="13" t="s">
        <v>305</v>
      </c>
      <c r="AF17" s="15" t="s">
        <v>382</v>
      </c>
      <c r="AG17" s="129" t="str">
        <f t="shared" si="8"/>
        <v>Vintage White Marine</v>
      </c>
      <c r="AO17" s="14" t="s">
        <v>561</v>
      </c>
      <c r="AP17" s="12" t="s">
        <v>54</v>
      </c>
      <c r="AQ17" s="14" t="s">
        <v>518</v>
      </c>
      <c r="AR17" s="12" t="s">
        <v>950</v>
      </c>
      <c r="AS17" s="129" t="s">
        <v>1341</v>
      </c>
      <c r="AW17" s="16"/>
      <c r="AX17" s="12"/>
      <c r="AY17" s="77"/>
      <c r="AZ17" s="129"/>
      <c r="BB17" s="91" t="s">
        <v>561</v>
      </c>
      <c r="BC17" s="91" t="s">
        <v>986</v>
      </c>
      <c r="BN17" s="154" t="str">
        <f t="shared" si="3"/>
        <v>LT</v>
      </c>
      <c r="BO17" s="12" t="s">
        <v>143</v>
      </c>
      <c r="BP17" s="12" t="s">
        <v>994</v>
      </c>
      <c r="BQ17" s="244" t="str">
        <f t="shared" si="4"/>
        <v>{[9_12T]:[BA01]}</v>
      </c>
      <c r="BR17" s="42" t="str">
        <f t="shared" si="7"/>
        <v>Remo Ctd Amb Batter</v>
      </c>
      <c r="BY17" s="63" t="s">
        <v>996</v>
      </c>
      <c r="BZ17" s="242" t="s">
        <v>1432</v>
      </c>
      <c r="CB17" s="116"/>
      <c r="CC17" s="12" t="s">
        <v>55</v>
      </c>
      <c r="CD17" s="12" t="s">
        <v>83</v>
      </c>
      <c r="CE17" s="12" t="s">
        <v>999</v>
      </c>
      <c r="CF17" s="244" t="s">
        <v>1022</v>
      </c>
      <c r="CG17" s="42" t="s">
        <v>1413</v>
      </c>
      <c r="CI17" s="16"/>
      <c r="CT17" s="4" t="s">
        <v>1269</v>
      </c>
    </row>
    <row r="18" spans="7:98" x14ac:dyDescent="0.3">
      <c r="G18" s="12" t="s">
        <v>15</v>
      </c>
      <c r="H18" s="12" t="s">
        <v>330</v>
      </c>
      <c r="I18" s="12" t="s">
        <v>909</v>
      </c>
      <c r="J18" s="129" t="str">
        <f t="shared" si="0"/>
        <v>Natural w/Accent</v>
      </c>
      <c r="K18" s="3"/>
      <c r="L18" s="129"/>
      <c r="O18" s="15" t="s">
        <v>292</v>
      </c>
      <c r="P18" s="12" t="s">
        <v>60</v>
      </c>
      <c r="Q18" s="129" t="str">
        <f t="shared" si="9"/>
        <v>Matching Hoop</v>
      </c>
      <c r="T18" s="15" t="s">
        <v>352</v>
      </c>
      <c r="U18" s="92" t="s">
        <v>353</v>
      </c>
      <c r="X18" s="14" t="s">
        <v>66</v>
      </c>
      <c r="Y18" s="13" t="s">
        <v>356</v>
      </c>
      <c r="Z18" s="129" t="str">
        <f t="shared" si="6"/>
        <v>Hybrid Black Sparkle</v>
      </c>
      <c r="AD18" s="144"/>
      <c r="AE18" s="13" t="s">
        <v>307</v>
      </c>
      <c r="AF18" s="15" t="s">
        <v>382</v>
      </c>
      <c r="AG18" s="129" t="str">
        <f t="shared" si="8"/>
        <v>Vintage White Marine</v>
      </c>
      <c r="AO18" s="14" t="s">
        <v>561</v>
      </c>
      <c r="AP18" s="12" t="s">
        <v>54</v>
      </c>
      <c r="AQ18" s="14" t="s">
        <v>518</v>
      </c>
      <c r="AR18" s="12" t="s">
        <v>954</v>
      </c>
      <c r="AS18" s="129" t="s">
        <v>1343</v>
      </c>
      <c r="AW18" s="16"/>
      <c r="AX18" s="12"/>
      <c r="AY18" s="77"/>
      <c r="AZ18" s="129"/>
      <c r="BB18" s="91" t="s">
        <v>562</v>
      </c>
      <c r="BC18" s="91" t="e" cm="1">
        <f t="array" ref="BC18">IF(OR(ISERROR(MATCH("LT"&amp;FALSE,Outfitter!AH8:AH20&amp;Outfitter!AO8:AO20,0))=FALSE,Outfitter!AF2&lt;&gt;"L8"),"Double Head","Single Head")</f>
        <v>#N/A</v>
      </c>
      <c r="BJ18" t="s">
        <v>1001</v>
      </c>
      <c r="BN18" s="154" t="str">
        <f t="shared" si="3"/>
        <v>LT</v>
      </c>
      <c r="BO18" s="12" t="s">
        <v>148</v>
      </c>
      <c r="BP18" s="12" t="s">
        <v>994</v>
      </c>
      <c r="BQ18" s="244" t="str">
        <f t="shared" si="4"/>
        <v>{[10_13T]:[BA01]}</v>
      </c>
      <c r="BR18" s="42" t="str">
        <f t="shared" si="7"/>
        <v>Remo Ctd Amb Batter</v>
      </c>
      <c r="BY18" s="63" t="s">
        <v>994</v>
      </c>
      <c r="BZ18" s="242" t="s">
        <v>1433</v>
      </c>
      <c r="CB18" s="116"/>
      <c r="CC18" s="12" t="s">
        <v>55</v>
      </c>
      <c r="CD18" s="12" t="s">
        <v>85</v>
      </c>
      <c r="CE18" s="12" t="s">
        <v>999</v>
      </c>
      <c r="CF18" s="244" t="s">
        <v>1023</v>
      </c>
      <c r="CG18" s="42" t="s">
        <v>1413</v>
      </c>
    </row>
    <row r="19" spans="7:98" x14ac:dyDescent="0.3">
      <c r="G19" s="12" t="s">
        <v>15</v>
      </c>
      <c r="H19" s="12" t="s">
        <v>330</v>
      </c>
      <c r="I19" s="12" t="s">
        <v>313</v>
      </c>
      <c r="J19" s="129" t="str">
        <f t="shared" si="0"/>
        <v>Sable Black</v>
      </c>
      <c r="K19" s="3"/>
      <c r="L19" s="129"/>
      <c r="O19" s="13" t="s">
        <v>1349</v>
      </c>
      <c r="P19" s="12" t="s">
        <v>902</v>
      </c>
      <c r="Q19" s="129" t="str">
        <f t="shared" si="9"/>
        <v>Satin Sable w/Inlay</v>
      </c>
      <c r="T19" s="15" t="s">
        <v>354</v>
      </c>
      <c r="U19" s="92" t="s">
        <v>355</v>
      </c>
      <c r="X19" s="14" t="s">
        <v>66</v>
      </c>
      <c r="Y19" s="13" t="s">
        <v>358</v>
      </c>
      <c r="Z19" s="129" t="str">
        <f t="shared" si="6"/>
        <v>Hybrid Copper Sparkle</v>
      </c>
      <c r="AD19" s="144"/>
      <c r="AE19" s="13" t="s">
        <v>309</v>
      </c>
      <c r="AF19" s="15" t="s">
        <v>382</v>
      </c>
      <c r="AG19" s="129" t="str">
        <f t="shared" si="8"/>
        <v>Vintage White Marine</v>
      </c>
      <c r="AO19" s="14" t="s">
        <v>561</v>
      </c>
      <c r="AP19" s="12" t="s">
        <v>54</v>
      </c>
      <c r="AQ19" s="14" t="s">
        <v>16</v>
      </c>
      <c r="AR19" s="12" t="s">
        <v>946</v>
      </c>
      <c r="AS19" s="129" t="s">
        <v>1339</v>
      </c>
      <c r="AW19" s="12"/>
      <c r="AX19" s="12"/>
      <c r="AY19" s="12"/>
      <c r="AZ19" s="129"/>
      <c r="BJ19" t="s">
        <v>1397</v>
      </c>
      <c r="BN19" s="154" t="str">
        <f t="shared" si="3"/>
        <v>LT</v>
      </c>
      <c r="BO19" s="12" t="s">
        <v>149</v>
      </c>
      <c r="BP19" s="12" t="s">
        <v>994</v>
      </c>
      <c r="BQ19" s="244" t="str">
        <f t="shared" si="4"/>
        <v>{[11_13T]:[BA01]}</v>
      </c>
      <c r="BR19" s="42" t="str">
        <f t="shared" si="7"/>
        <v>Remo Ctd Amb Batter</v>
      </c>
      <c r="BY19" s="63" t="s">
        <v>1405</v>
      </c>
      <c r="BZ19" s="42" t="s">
        <v>1434</v>
      </c>
      <c r="CB19" s="116"/>
      <c r="CC19" s="12" t="s">
        <v>55</v>
      </c>
      <c r="CD19" s="12" t="s">
        <v>88</v>
      </c>
      <c r="CE19" s="12" t="s">
        <v>999</v>
      </c>
      <c r="CF19" s="244" t="s">
        <v>1024</v>
      </c>
      <c r="CG19" s="42" t="s">
        <v>1413</v>
      </c>
    </row>
    <row r="20" spans="7:98" x14ac:dyDescent="0.3">
      <c r="G20" s="12" t="s">
        <v>16</v>
      </c>
      <c r="H20" s="12" t="s">
        <v>330</v>
      </c>
      <c r="I20" s="12" t="s">
        <v>902</v>
      </c>
      <c r="J20" s="129" t="str">
        <f t="shared" ref="J20:J83" si="10">INDEX($C$3:$C$15,MATCH(I20,$B$3:$B$15,0))</f>
        <v>Satin Sable w/Inlay</v>
      </c>
      <c r="K20" s="129"/>
      <c r="L20" s="129"/>
      <c r="O20" s="13" t="s">
        <v>294</v>
      </c>
      <c r="P20" s="12" t="s">
        <v>60</v>
      </c>
      <c r="Q20" s="129" t="str">
        <f t="shared" si="9"/>
        <v>Matching Hoop</v>
      </c>
      <c r="T20" s="15" t="s">
        <v>356</v>
      </c>
      <c r="U20" s="92" t="s">
        <v>357</v>
      </c>
      <c r="X20" s="14" t="s">
        <v>66</v>
      </c>
      <c r="Y20" s="13" t="s">
        <v>59</v>
      </c>
      <c r="Z20" s="129" t="str">
        <f t="shared" si="6"/>
        <v>Lemon Oyster</v>
      </c>
      <c r="AD20" s="144"/>
      <c r="AE20" s="13" t="s">
        <v>311</v>
      </c>
      <c r="AF20" s="15" t="s">
        <v>382</v>
      </c>
      <c r="AG20" s="129" t="str">
        <f t="shared" si="8"/>
        <v>Vintage White Marine</v>
      </c>
      <c r="AO20" s="14" t="s">
        <v>561</v>
      </c>
      <c r="AP20" s="12" t="s">
        <v>54</v>
      </c>
      <c r="AQ20" s="14" t="s">
        <v>16</v>
      </c>
      <c r="AR20" s="12" t="s">
        <v>950</v>
      </c>
      <c r="AS20" s="129" t="s">
        <v>1341</v>
      </c>
      <c r="AW20" s="12"/>
      <c r="AX20" s="12"/>
      <c r="AY20" s="12"/>
      <c r="AZ20" s="129"/>
      <c r="BN20" s="154" t="str">
        <f t="shared" si="3"/>
        <v>LT</v>
      </c>
      <c r="BO20" s="12" t="s">
        <v>150</v>
      </c>
      <c r="BP20" s="12" t="s">
        <v>994</v>
      </c>
      <c r="BQ20" s="244" t="str">
        <f t="shared" si="4"/>
        <v>{[12_13T]:[BA01]}</v>
      </c>
      <c r="BR20" s="42" t="str">
        <f t="shared" si="7"/>
        <v>Remo Ctd Amb Batter</v>
      </c>
      <c r="BY20" s="63" t="s">
        <v>1407</v>
      </c>
      <c r="BZ20" s="42" t="s">
        <v>1435</v>
      </c>
      <c r="CB20" s="116"/>
      <c r="CC20" s="12" t="s">
        <v>55</v>
      </c>
      <c r="CD20" s="12" t="s">
        <v>90</v>
      </c>
      <c r="CE20" s="12" t="s">
        <v>999</v>
      </c>
      <c r="CF20" s="244" t="s">
        <v>1025</v>
      </c>
      <c r="CG20" s="42" t="s">
        <v>1413</v>
      </c>
      <c r="CQ20" t="s">
        <v>1267</v>
      </c>
    </row>
    <row r="21" spans="7:98" x14ac:dyDescent="0.3">
      <c r="G21" s="12" t="s">
        <v>16</v>
      </c>
      <c r="H21" s="12" t="s">
        <v>330</v>
      </c>
      <c r="I21" s="12" t="s">
        <v>904</v>
      </c>
      <c r="J21" s="129" t="str">
        <f t="shared" si="10"/>
        <v>Satin Natural w/Inlay</v>
      </c>
      <c r="K21" s="129"/>
      <c r="L21" s="129"/>
      <c r="O21" s="13" t="s">
        <v>296</v>
      </c>
      <c r="P21" s="12" t="s">
        <v>60</v>
      </c>
      <c r="Q21" s="129" t="str">
        <f t="shared" si="9"/>
        <v>Matching Hoop</v>
      </c>
      <c r="T21" s="15" t="s">
        <v>358</v>
      </c>
      <c r="U21" s="92" t="s">
        <v>359</v>
      </c>
      <c r="X21" s="14" t="s">
        <v>66</v>
      </c>
      <c r="Y21" s="13" t="s">
        <v>932</v>
      </c>
      <c r="Z21" s="129" t="str">
        <f t="shared" si="6"/>
        <v>Merlot Super Sparkle</v>
      </c>
      <c r="AD21" s="144"/>
      <c r="AE21" s="13" t="s">
        <v>313</v>
      </c>
      <c r="AF21" s="15" t="s">
        <v>382</v>
      </c>
      <c r="AG21" s="129" t="str">
        <f t="shared" si="8"/>
        <v>Vintage White Marine</v>
      </c>
      <c r="AO21" s="14" t="s">
        <v>561</v>
      </c>
      <c r="AP21" s="12" t="s">
        <v>54</v>
      </c>
      <c r="AQ21" s="14" t="s">
        <v>16</v>
      </c>
      <c r="AR21" s="12" t="s">
        <v>954</v>
      </c>
      <c r="AS21" s="129" t="s">
        <v>1343</v>
      </c>
      <c r="AW21" s="12"/>
      <c r="AX21" s="12"/>
      <c r="AY21" s="17" t="s">
        <v>1134</v>
      </c>
      <c r="AZ21" s="129"/>
      <c r="BN21" s="154" t="str">
        <f t="shared" si="3"/>
        <v>LT</v>
      </c>
      <c r="BO21" s="12" t="s">
        <v>147</v>
      </c>
      <c r="BP21" s="12" t="s">
        <v>994</v>
      </c>
      <c r="BQ21" s="244" t="str">
        <f t="shared" si="4"/>
        <v>{[9_13T]:[BA01]}</v>
      </c>
      <c r="BR21" s="42" t="str">
        <f t="shared" si="7"/>
        <v>Remo Ctd Amb Batter</v>
      </c>
      <c r="BY21" s="63" t="s">
        <v>1409</v>
      </c>
      <c r="BZ21" s="42" t="s">
        <v>1436</v>
      </c>
      <c r="CB21" s="116"/>
      <c r="CC21" s="12" t="s">
        <v>55</v>
      </c>
      <c r="CD21" s="12" t="s">
        <v>93</v>
      </c>
      <c r="CE21" s="12" t="s">
        <v>999</v>
      </c>
      <c r="CF21" s="244" t="s">
        <v>1026</v>
      </c>
      <c r="CG21" s="42" t="s">
        <v>1413</v>
      </c>
      <c r="CQ21" t="s">
        <v>1236</v>
      </c>
      <c r="CR21" s="9" t="s">
        <v>536</v>
      </c>
      <c r="CS21" s="4" t="s">
        <v>46</v>
      </c>
    </row>
    <row r="22" spans="7:98" x14ac:dyDescent="0.3">
      <c r="G22" s="12" t="s">
        <v>16</v>
      </c>
      <c r="H22" s="12" t="s">
        <v>330</v>
      </c>
      <c r="I22" s="12" t="s">
        <v>26</v>
      </c>
      <c r="J22" s="129" t="str">
        <f t="shared" si="10"/>
        <v>Satin Sable</v>
      </c>
      <c r="K22" s="129"/>
      <c r="L22" s="129"/>
      <c r="O22" s="13" t="s">
        <v>339</v>
      </c>
      <c r="P22" s="12" t="s">
        <v>902</v>
      </c>
      <c r="Q22" s="129" t="str">
        <f t="shared" si="9"/>
        <v>Satin Sable w/Inlay</v>
      </c>
      <c r="T22" s="15" t="s">
        <v>59</v>
      </c>
      <c r="U22" s="92" t="s">
        <v>360</v>
      </c>
      <c r="X22" s="14" t="s">
        <v>66</v>
      </c>
      <c r="Y22" s="13" t="s">
        <v>361</v>
      </c>
      <c r="Z22" s="129" t="str">
        <f t="shared" si="6"/>
        <v>Mod Orange</v>
      </c>
      <c r="AD22" s="144"/>
      <c r="AE22" s="13" t="s">
        <v>315</v>
      </c>
      <c r="AF22" s="15" t="s">
        <v>382</v>
      </c>
      <c r="AG22" s="129" t="str">
        <f t="shared" si="8"/>
        <v>Vintage White Marine</v>
      </c>
      <c r="AO22" s="14" t="s">
        <v>561</v>
      </c>
      <c r="AP22" s="12" t="s">
        <v>54</v>
      </c>
      <c r="AQ22" s="14" t="s">
        <v>22</v>
      </c>
      <c r="AR22" s="12" t="s">
        <v>952</v>
      </c>
      <c r="AS22" s="129" t="s">
        <v>1342</v>
      </c>
      <c r="AW22" s="16"/>
      <c r="AX22" s="12"/>
      <c r="AY22" s="77"/>
      <c r="AZ22" s="3" t="s">
        <v>1136</v>
      </c>
      <c r="BN22" s="154" t="str">
        <f t="shared" si="3"/>
        <v>LT</v>
      </c>
      <c r="BO22" s="12" t="s">
        <v>157</v>
      </c>
      <c r="BP22" s="12" t="s">
        <v>994</v>
      </c>
      <c r="BQ22" s="244" t="str">
        <f t="shared" si="4"/>
        <v>{[10_14T]:[BA01]}</v>
      </c>
      <c r="BR22" s="42" t="str">
        <f t="shared" si="7"/>
        <v>Remo Ctd Amb Batter</v>
      </c>
      <c r="BY22" s="63" t="s">
        <v>1411</v>
      </c>
      <c r="BZ22" s="42" t="s">
        <v>1437</v>
      </c>
      <c r="CB22" s="116"/>
      <c r="CC22" s="12" t="s">
        <v>55</v>
      </c>
      <c r="CD22" s="12" t="s">
        <v>95</v>
      </c>
      <c r="CE22" s="12" t="s">
        <v>999</v>
      </c>
      <c r="CF22" s="244" t="s">
        <v>1027</v>
      </c>
      <c r="CG22" s="42" t="s">
        <v>1413</v>
      </c>
      <c r="CQ22" t="s">
        <v>1236</v>
      </c>
      <c r="CR22" s="9" t="s">
        <v>547</v>
      </c>
      <c r="CS22" s="4" t="s">
        <v>548</v>
      </c>
    </row>
    <row r="23" spans="7:98" x14ac:dyDescent="0.3">
      <c r="G23" s="12" t="s">
        <v>16</v>
      </c>
      <c r="H23" s="12" t="s">
        <v>330</v>
      </c>
      <c r="I23" s="12" t="s">
        <v>914</v>
      </c>
      <c r="J23" s="129" t="str">
        <f t="shared" si="10"/>
        <v>Satin Sable w/Accent</v>
      </c>
      <c r="K23" s="129"/>
      <c r="L23" s="129"/>
      <c r="O23" s="15" t="s">
        <v>341</v>
      </c>
      <c r="P23" s="12" t="s">
        <v>902</v>
      </c>
      <c r="Q23" s="129" t="str">
        <f t="shared" si="9"/>
        <v>Satin Sable w/Inlay</v>
      </c>
      <c r="T23" s="15" t="s">
        <v>932</v>
      </c>
      <c r="U23" s="92" t="s">
        <v>1351</v>
      </c>
      <c r="X23" s="14" t="s">
        <v>66</v>
      </c>
      <c r="Y23" s="13" t="s">
        <v>363</v>
      </c>
      <c r="Z23" s="129" t="str">
        <f t="shared" si="6"/>
        <v>Olive Oyster</v>
      </c>
      <c r="AD23" s="144"/>
      <c r="AE23" s="13" t="s">
        <v>317</v>
      </c>
      <c r="AF23" s="15" t="s">
        <v>382</v>
      </c>
      <c r="AG23" s="129" t="str">
        <f t="shared" si="8"/>
        <v>Vintage White Marine</v>
      </c>
      <c r="AO23" s="14" t="s">
        <v>561</v>
      </c>
      <c r="AP23" s="12" t="s">
        <v>54</v>
      </c>
      <c r="AQ23" s="14" t="s">
        <v>22</v>
      </c>
      <c r="AR23" s="12" t="s">
        <v>946</v>
      </c>
      <c r="AS23" s="129" t="s">
        <v>1339</v>
      </c>
      <c r="AW23" s="16"/>
      <c r="AX23" s="12"/>
      <c r="AY23" s="77"/>
      <c r="AZ23" s="1" t="s">
        <v>1137</v>
      </c>
      <c r="BN23" s="154" t="str">
        <f t="shared" si="3"/>
        <v>LT</v>
      </c>
      <c r="BO23" s="12" t="s">
        <v>163</v>
      </c>
      <c r="BP23" s="12" t="s">
        <v>994</v>
      </c>
      <c r="BQ23" s="244" t="str">
        <f t="shared" si="4"/>
        <v>{[11_14T]:[BA01]}</v>
      </c>
      <c r="BR23" s="42" t="str">
        <f t="shared" si="7"/>
        <v>Remo Ctd Amb Batter</v>
      </c>
      <c r="BY23" s="63" t="s">
        <v>1438</v>
      </c>
      <c r="BZ23" s="42" t="s">
        <v>1439</v>
      </c>
      <c r="CB23" s="116"/>
      <c r="CC23" s="12" t="s">
        <v>55</v>
      </c>
      <c r="CD23" s="12" t="s">
        <v>100</v>
      </c>
      <c r="CE23" s="12" t="s">
        <v>999</v>
      </c>
      <c r="CF23" s="244" t="s">
        <v>1028</v>
      </c>
      <c r="CG23" s="42" t="s">
        <v>1413</v>
      </c>
      <c r="CQ23" t="s">
        <v>1236</v>
      </c>
      <c r="CR23" s="9" t="s">
        <v>549</v>
      </c>
      <c r="CS23" s="4" t="s">
        <v>550</v>
      </c>
    </row>
    <row r="24" spans="7:98" x14ac:dyDescent="0.3">
      <c r="G24" s="12" t="s">
        <v>16</v>
      </c>
      <c r="H24" s="12" t="s">
        <v>330</v>
      </c>
      <c r="I24" s="12" t="s">
        <v>321</v>
      </c>
      <c r="J24" s="129" t="str">
        <f t="shared" si="10"/>
        <v>Satin Natural</v>
      </c>
      <c r="K24" s="129"/>
      <c r="L24" s="129"/>
      <c r="O24" s="13" t="s">
        <v>343</v>
      </c>
      <c r="P24" s="12" t="s">
        <v>902</v>
      </c>
      <c r="Q24" s="129" t="str">
        <f t="shared" si="9"/>
        <v>Satin Sable w/Inlay</v>
      </c>
      <c r="T24" s="15" t="s">
        <v>361</v>
      </c>
      <c r="U24" s="91" t="s">
        <v>362</v>
      </c>
      <c r="X24" s="14" t="s">
        <v>66</v>
      </c>
      <c r="Y24" s="13" t="s">
        <v>367</v>
      </c>
      <c r="Z24" s="129" t="str">
        <f t="shared" si="6"/>
        <v>Red Sparkle</v>
      </c>
      <c r="AD24" s="144"/>
      <c r="AE24" s="13" t="s">
        <v>319</v>
      </c>
      <c r="AF24" s="15" t="s">
        <v>382</v>
      </c>
      <c r="AG24" s="129" t="str">
        <f t="shared" si="8"/>
        <v>Vintage White Marine</v>
      </c>
      <c r="AO24" s="14" t="s">
        <v>561</v>
      </c>
      <c r="AP24" s="12" t="s">
        <v>54</v>
      </c>
      <c r="AQ24" s="14" t="s">
        <v>22</v>
      </c>
      <c r="AR24" s="12" t="s">
        <v>950</v>
      </c>
      <c r="AS24" s="129" t="s">
        <v>1341</v>
      </c>
      <c r="AW24" s="12"/>
      <c r="AX24" s="12"/>
      <c r="AY24" s="12"/>
      <c r="AZ24" s="1" t="s">
        <v>1135</v>
      </c>
      <c r="BN24" s="154" t="str">
        <f t="shared" si="3"/>
        <v>LF</v>
      </c>
      <c r="BO24" s="12" t="s">
        <v>110</v>
      </c>
      <c r="BP24" s="12" t="s">
        <v>994</v>
      </c>
      <c r="BQ24" s="244" t="str">
        <f t="shared" si="4"/>
        <v>{[12_14F]:[BA01]}</v>
      </c>
      <c r="BR24" s="42" t="str">
        <f t="shared" si="7"/>
        <v>Remo Ctd Amb Batter</v>
      </c>
      <c r="CB24" s="116"/>
      <c r="CC24" s="12" t="s">
        <v>55</v>
      </c>
      <c r="CD24" s="12" t="s">
        <v>104</v>
      </c>
      <c r="CE24" s="12" t="s">
        <v>999</v>
      </c>
      <c r="CF24" s="244" t="s">
        <v>1029</v>
      </c>
      <c r="CG24" s="42" t="s">
        <v>1413</v>
      </c>
      <c r="CQ24" t="s">
        <v>1236</v>
      </c>
      <c r="CR24" s="9" t="s">
        <v>537</v>
      </c>
      <c r="CS24" s="4" t="s">
        <v>538</v>
      </c>
    </row>
    <row r="25" spans="7:98" x14ac:dyDescent="0.3">
      <c r="G25" s="12" t="s">
        <v>16</v>
      </c>
      <c r="H25" s="12" t="s">
        <v>330</v>
      </c>
      <c r="I25" s="12" t="s">
        <v>912</v>
      </c>
      <c r="J25" s="129" t="str">
        <f t="shared" si="10"/>
        <v>Satin Natural w/Accent</v>
      </c>
      <c r="K25" s="129"/>
      <c r="L25" s="129"/>
      <c r="O25" s="13" t="s">
        <v>344</v>
      </c>
      <c r="P25" s="12" t="s">
        <v>902</v>
      </c>
      <c r="Q25" s="129" t="str">
        <f t="shared" si="9"/>
        <v>Satin Sable w/Inlay</v>
      </c>
      <c r="T25" s="15" t="s">
        <v>363</v>
      </c>
      <c r="U25" s="91" t="s">
        <v>364</v>
      </c>
      <c r="X25" s="14" t="s">
        <v>66</v>
      </c>
      <c r="Y25" s="13" t="s">
        <v>369</v>
      </c>
      <c r="Z25" s="129" t="str">
        <f t="shared" si="6"/>
        <v>Red Swirl</v>
      </c>
      <c r="AD25" s="144"/>
      <c r="AE25" s="13" t="s">
        <v>321</v>
      </c>
      <c r="AF25" s="15" t="s">
        <v>382</v>
      </c>
      <c r="AG25" s="129" t="str">
        <f t="shared" si="8"/>
        <v>Vintage White Marine</v>
      </c>
      <c r="AO25" s="14" t="s">
        <v>561</v>
      </c>
      <c r="AP25" s="12" t="s">
        <v>54</v>
      </c>
      <c r="AQ25" s="14" t="s">
        <v>22</v>
      </c>
      <c r="AR25" s="12" t="s">
        <v>954</v>
      </c>
      <c r="AS25" s="129" t="s">
        <v>1343</v>
      </c>
      <c r="AW25" s="12"/>
      <c r="AX25" s="12"/>
      <c r="AY25" s="12"/>
      <c r="AZ25" s="1" t="s">
        <v>1138</v>
      </c>
      <c r="BN25" s="154" t="str">
        <f t="shared" si="3"/>
        <v>LT</v>
      </c>
      <c r="BO25" s="12" t="s">
        <v>169</v>
      </c>
      <c r="BP25" s="12" t="s">
        <v>994</v>
      </c>
      <c r="BQ25" s="244" t="str">
        <f t="shared" si="4"/>
        <v>{[12_14T]:[BA01]}</v>
      </c>
      <c r="BR25" s="42" t="str">
        <f t="shared" si="7"/>
        <v>Remo Ctd Amb Batter</v>
      </c>
      <c r="CB25" s="116"/>
      <c r="CC25" s="12" t="s">
        <v>55</v>
      </c>
      <c r="CD25" s="12" t="s">
        <v>45</v>
      </c>
      <c r="CE25" s="12" t="s">
        <v>1000</v>
      </c>
      <c r="CF25" s="244" t="s">
        <v>1030</v>
      </c>
      <c r="CG25" s="42" t="s">
        <v>1414</v>
      </c>
      <c r="CQ25" t="s">
        <v>1236</v>
      </c>
      <c r="CR25" s="9" t="s">
        <v>539</v>
      </c>
      <c r="CS25" s="4" t="s">
        <v>540</v>
      </c>
    </row>
    <row r="26" spans="7:98" x14ac:dyDescent="0.3">
      <c r="G26" s="12" t="s">
        <v>16</v>
      </c>
      <c r="H26" s="12" t="s">
        <v>330</v>
      </c>
      <c r="I26" s="12" t="s">
        <v>309</v>
      </c>
      <c r="J26" s="129" t="str">
        <f t="shared" si="10"/>
        <v>Natural Hoop</v>
      </c>
      <c r="K26" s="129"/>
      <c r="L26" s="129"/>
      <c r="O26" s="13" t="s">
        <v>298</v>
      </c>
      <c r="P26" s="12" t="s">
        <v>60</v>
      </c>
      <c r="Q26" s="129" t="str">
        <f t="shared" si="9"/>
        <v>Matching Hoop</v>
      </c>
      <c r="T26" s="15" t="s">
        <v>367</v>
      </c>
      <c r="U26" s="92" t="s">
        <v>368</v>
      </c>
      <c r="X26" s="14" t="s">
        <v>66</v>
      </c>
      <c r="Y26" s="13" t="s">
        <v>371</v>
      </c>
      <c r="Z26" s="129" t="str">
        <f t="shared" si="6"/>
        <v>Silver Silk</v>
      </c>
      <c r="AD26" s="144"/>
      <c r="AE26" s="13" t="s">
        <v>322</v>
      </c>
      <c r="AF26" s="15" t="s">
        <v>382</v>
      </c>
      <c r="AG26" s="129" t="str">
        <f t="shared" si="8"/>
        <v>Vintage White Marine</v>
      </c>
      <c r="AO26" s="14" t="s">
        <v>561</v>
      </c>
      <c r="AP26" s="12" t="s">
        <v>67</v>
      </c>
      <c r="AQ26" s="14" t="s">
        <v>518</v>
      </c>
      <c r="AR26" s="12" t="s">
        <v>952</v>
      </c>
      <c r="AS26" s="129" t="s">
        <v>1342</v>
      </c>
      <c r="AW26" s="12"/>
      <c r="AX26" s="12"/>
      <c r="AY26" s="12"/>
      <c r="AZ26" s="1"/>
      <c r="BN26" s="154" t="str">
        <f t="shared" si="3"/>
        <v>LF</v>
      </c>
      <c r="BO26" s="12" t="s">
        <v>113</v>
      </c>
      <c r="BP26" s="12" t="s">
        <v>994</v>
      </c>
      <c r="BQ26" s="244" t="str">
        <f t="shared" si="4"/>
        <v>{[13_14F]:[BA01]}</v>
      </c>
      <c r="BR26" s="42" t="str">
        <f t="shared" si="7"/>
        <v>Remo Ctd Amb Batter</v>
      </c>
      <c r="CB26" s="116"/>
      <c r="CC26" s="12" t="s">
        <v>55</v>
      </c>
      <c r="CD26" s="12" t="s">
        <v>49</v>
      </c>
      <c r="CE26" s="12" t="s">
        <v>1000</v>
      </c>
      <c r="CF26" s="244" t="s">
        <v>1031</v>
      </c>
      <c r="CG26" s="42" t="s">
        <v>1414</v>
      </c>
      <c r="CQ26" t="s">
        <v>1236</v>
      </c>
      <c r="CR26" s="9" t="s">
        <v>543</v>
      </c>
      <c r="CS26" s="4" t="s">
        <v>544</v>
      </c>
    </row>
    <row r="27" spans="7:98" x14ac:dyDescent="0.3">
      <c r="G27" s="12" t="s">
        <v>16</v>
      </c>
      <c r="H27" s="12" t="s">
        <v>330</v>
      </c>
      <c r="I27" s="12" t="s">
        <v>907</v>
      </c>
      <c r="J27" s="129" t="str">
        <f t="shared" si="10"/>
        <v>Natural w/Inlay</v>
      </c>
      <c r="K27" s="129"/>
      <c r="L27" s="129"/>
      <c r="O27" s="13" t="s">
        <v>346</v>
      </c>
      <c r="P27" s="12" t="s">
        <v>902</v>
      </c>
      <c r="Q27" s="129" t="str">
        <f t="shared" si="9"/>
        <v>Satin Sable w/Inlay</v>
      </c>
      <c r="T27" s="15" t="s">
        <v>369</v>
      </c>
      <c r="U27" s="91" t="s">
        <v>370</v>
      </c>
      <c r="X27" s="14" t="s">
        <v>66</v>
      </c>
      <c r="Y27" s="13" t="s">
        <v>373</v>
      </c>
      <c r="Z27" s="129" t="str">
        <f t="shared" si="6"/>
        <v>Silver Sparkle</v>
      </c>
      <c r="AD27" s="144"/>
      <c r="AE27" s="13" t="s">
        <v>324</v>
      </c>
      <c r="AF27" s="15" t="s">
        <v>382</v>
      </c>
      <c r="AG27" s="129" t="str">
        <f t="shared" si="8"/>
        <v>Vintage White Marine</v>
      </c>
      <c r="AO27" s="14" t="s">
        <v>561</v>
      </c>
      <c r="AP27" s="12" t="s">
        <v>67</v>
      </c>
      <c r="AQ27" s="14" t="s">
        <v>518</v>
      </c>
      <c r="AR27" s="12" t="s">
        <v>948</v>
      </c>
      <c r="AS27" s="129" t="s">
        <v>1340</v>
      </c>
      <c r="AW27" s="63"/>
      <c r="AX27" s="12"/>
      <c r="AY27" s="77"/>
      <c r="AZ27" s="1"/>
      <c r="BN27" s="154" t="str">
        <f t="shared" si="3"/>
        <v>LT</v>
      </c>
      <c r="BO27" s="12" t="s">
        <v>175</v>
      </c>
      <c r="BP27" s="12" t="s">
        <v>994</v>
      </c>
      <c r="BQ27" s="244" t="str">
        <f t="shared" si="4"/>
        <v>{[13_14T]:[BA01]}</v>
      </c>
      <c r="BR27" s="42" t="str">
        <f t="shared" si="7"/>
        <v>Remo Ctd Amb Batter</v>
      </c>
      <c r="CB27" s="116"/>
      <c r="CC27" s="12" t="s">
        <v>55</v>
      </c>
      <c r="CD27" s="12" t="s">
        <v>51</v>
      </c>
      <c r="CE27" s="12" t="s">
        <v>1000</v>
      </c>
      <c r="CF27" s="244" t="s">
        <v>1032</v>
      </c>
      <c r="CG27" s="42" t="s">
        <v>1414</v>
      </c>
      <c r="CQ27" t="s">
        <v>1268</v>
      </c>
      <c r="CR27" s="9" t="s">
        <v>541</v>
      </c>
      <c r="CS27" s="4" t="s">
        <v>542</v>
      </c>
    </row>
    <row r="28" spans="7:98" x14ac:dyDescent="0.3">
      <c r="G28" s="12" t="s">
        <v>16</v>
      </c>
      <c r="H28" s="12" t="s">
        <v>330</v>
      </c>
      <c r="I28" s="12" t="s">
        <v>909</v>
      </c>
      <c r="J28" s="129" t="str">
        <f t="shared" si="10"/>
        <v>Natural w/Accent</v>
      </c>
      <c r="K28" s="129"/>
      <c r="L28" s="129"/>
      <c r="O28" s="141" t="s">
        <v>1884</v>
      </c>
      <c r="P28" s="16" t="s">
        <v>902</v>
      </c>
      <c r="Q28" s="129" t="str">
        <f t="shared" si="9"/>
        <v>Satin Sable w/Inlay</v>
      </c>
      <c r="T28" s="15" t="s">
        <v>371</v>
      </c>
      <c r="U28" s="91" t="s">
        <v>372</v>
      </c>
      <c r="X28" s="14" t="s">
        <v>66</v>
      </c>
      <c r="Y28" s="13" t="s">
        <v>375</v>
      </c>
      <c r="Z28" s="129" t="str">
        <f t="shared" si="6"/>
        <v>Sky Blue Pearl</v>
      </c>
      <c r="AD28" s="144"/>
      <c r="AE28" s="13" t="s">
        <v>326</v>
      </c>
      <c r="AF28" s="15" t="s">
        <v>382</v>
      </c>
      <c r="AG28" s="129" t="str">
        <f t="shared" si="8"/>
        <v>Vintage White Marine</v>
      </c>
      <c r="AO28" s="14" t="s">
        <v>561</v>
      </c>
      <c r="AP28" s="12" t="s">
        <v>67</v>
      </c>
      <c r="AQ28" s="14" t="s">
        <v>518</v>
      </c>
      <c r="AR28" s="12" t="s">
        <v>946</v>
      </c>
      <c r="AS28" s="129" t="s">
        <v>1339</v>
      </c>
      <c r="AW28" s="63"/>
      <c r="AX28" s="12"/>
      <c r="AY28" s="77"/>
      <c r="AZ28" s="1"/>
      <c r="BN28" s="154" t="str">
        <f t="shared" si="3"/>
        <v>LF</v>
      </c>
      <c r="BO28" s="12" t="s">
        <v>116</v>
      </c>
      <c r="BP28" s="12" t="s">
        <v>994</v>
      </c>
      <c r="BQ28" s="244" t="str">
        <f t="shared" si="4"/>
        <v>{[14_14F]:[BA01]}</v>
      </c>
      <c r="BR28" s="42" t="str">
        <f t="shared" si="7"/>
        <v>Remo Ctd Amb Batter</v>
      </c>
      <c r="BY28" s="63" t="s">
        <v>1365</v>
      </c>
      <c r="BZ28" s="18" t="s">
        <v>1417</v>
      </c>
      <c r="CB28" s="116"/>
      <c r="CC28" s="12" t="s">
        <v>55</v>
      </c>
      <c r="CD28" s="12" t="s">
        <v>54</v>
      </c>
      <c r="CE28" s="12" t="s">
        <v>1000</v>
      </c>
      <c r="CF28" s="244" t="s">
        <v>1033</v>
      </c>
      <c r="CG28" s="42" t="s">
        <v>1414</v>
      </c>
      <c r="CQ28" t="s">
        <v>1268</v>
      </c>
      <c r="CR28" s="9" t="s">
        <v>545</v>
      </c>
      <c r="CS28" s="4" t="s">
        <v>546</v>
      </c>
    </row>
    <row r="29" spans="7:98" x14ac:dyDescent="0.3">
      <c r="G29" s="12" t="s">
        <v>16</v>
      </c>
      <c r="H29" s="12" t="s">
        <v>330</v>
      </c>
      <c r="I29" s="12" t="s">
        <v>313</v>
      </c>
      <c r="J29" s="129" t="str">
        <f t="shared" si="10"/>
        <v>Sable Black</v>
      </c>
      <c r="K29" s="129"/>
      <c r="L29" s="129"/>
      <c r="O29" s="13" t="s">
        <v>348</v>
      </c>
      <c r="P29" s="12" t="s">
        <v>902</v>
      </c>
      <c r="Q29" s="129" t="str">
        <f t="shared" si="9"/>
        <v>Satin Sable w/Inlay</v>
      </c>
      <c r="T29" s="15" t="s">
        <v>373</v>
      </c>
      <c r="U29" s="92" t="s">
        <v>374</v>
      </c>
      <c r="X29" s="14" t="s">
        <v>66</v>
      </c>
      <c r="Y29" s="13" t="s">
        <v>1352</v>
      </c>
      <c r="Z29" s="129" t="str">
        <f t="shared" si="6"/>
        <v>Steel Blue Pearl</v>
      </c>
      <c r="AD29" s="144"/>
      <c r="AE29" s="15" t="s">
        <v>60</v>
      </c>
      <c r="AF29" s="15" t="s">
        <v>382</v>
      </c>
      <c r="AG29" s="129" t="str">
        <f t="shared" si="8"/>
        <v>Vintage White Marine</v>
      </c>
      <c r="AO29" s="14" t="s">
        <v>561</v>
      </c>
      <c r="AP29" s="12" t="s">
        <v>67</v>
      </c>
      <c r="AQ29" s="14" t="s">
        <v>518</v>
      </c>
      <c r="AR29" s="12" t="s">
        <v>950</v>
      </c>
      <c r="AS29" s="129" t="s">
        <v>1341</v>
      </c>
      <c r="AW29" s="12"/>
      <c r="AX29" s="12"/>
      <c r="AY29" s="12"/>
      <c r="AZ29" s="1"/>
      <c r="BN29" s="154" t="str">
        <f t="shared" si="3"/>
        <v>LT</v>
      </c>
      <c r="BO29" s="12" t="s">
        <v>176</v>
      </c>
      <c r="BP29" s="12" t="s">
        <v>994</v>
      </c>
      <c r="BQ29" s="244" t="str">
        <f t="shared" si="4"/>
        <v>{[14_14T]:[BA01]}</v>
      </c>
      <c r="BR29" s="42" t="str">
        <f t="shared" si="7"/>
        <v>Remo Ctd Amb Batter</v>
      </c>
      <c r="BY29" s="63" t="s">
        <v>1377</v>
      </c>
      <c r="BZ29" s="18" t="s">
        <v>1418</v>
      </c>
      <c r="CB29" s="116"/>
      <c r="CC29" s="12" t="s">
        <v>55</v>
      </c>
      <c r="CD29" s="12" t="s">
        <v>58</v>
      </c>
      <c r="CE29" s="12" t="s">
        <v>1000</v>
      </c>
      <c r="CF29" s="244" t="s">
        <v>1034</v>
      </c>
      <c r="CG29" s="42" t="s">
        <v>1414</v>
      </c>
    </row>
    <row r="30" spans="7:98" x14ac:dyDescent="0.3">
      <c r="G30" s="12" t="s">
        <v>17</v>
      </c>
      <c r="H30" s="12" t="s">
        <v>330</v>
      </c>
      <c r="I30" s="12" t="s">
        <v>902</v>
      </c>
      <c r="J30" s="129" t="str">
        <f t="shared" si="10"/>
        <v>Satin Sable w/Inlay</v>
      </c>
      <c r="K30" s="129"/>
      <c r="L30" s="129"/>
      <c r="O30" s="13" t="s">
        <v>350</v>
      </c>
      <c r="P30" s="12" t="s">
        <v>904</v>
      </c>
      <c r="Q30" s="129" t="str">
        <f t="shared" si="9"/>
        <v>Satin Natural w/Inlay</v>
      </c>
      <c r="T30" s="15" t="s">
        <v>375</v>
      </c>
      <c r="U30" s="92" t="s">
        <v>376</v>
      </c>
      <c r="X30" s="14" t="s">
        <v>66</v>
      </c>
      <c r="Y30" s="13" t="s">
        <v>282</v>
      </c>
      <c r="Z30" s="129" t="str">
        <f t="shared" si="6"/>
        <v>Titanium Super Sparkle</v>
      </c>
      <c r="AD30" s="144"/>
      <c r="AE30" s="13" t="s">
        <v>329</v>
      </c>
      <c r="AF30" s="15" t="s">
        <v>382</v>
      </c>
      <c r="AG30" s="129" t="str">
        <f t="shared" si="8"/>
        <v>Vintage White Marine</v>
      </c>
      <c r="AO30" s="14" t="s">
        <v>561</v>
      </c>
      <c r="AP30" s="12" t="s">
        <v>67</v>
      </c>
      <c r="AQ30" s="14" t="s">
        <v>518</v>
      </c>
      <c r="AR30" s="12" t="s">
        <v>954</v>
      </c>
      <c r="AS30" s="129" t="s">
        <v>1343</v>
      </c>
      <c r="AW30" s="12"/>
      <c r="AX30" s="12"/>
      <c r="AY30" s="12"/>
      <c r="AZ30" s="1"/>
      <c r="BN30" s="154" t="str">
        <f t="shared" si="3"/>
        <v>LT</v>
      </c>
      <c r="BO30" s="12" t="s">
        <v>151</v>
      </c>
      <c r="BP30" s="12" t="s">
        <v>994</v>
      </c>
      <c r="BQ30" s="244" t="str">
        <f t="shared" si="4"/>
        <v>{[9_14T]:[BA01]}</v>
      </c>
      <c r="BR30" s="42" t="str">
        <f t="shared" si="7"/>
        <v>Remo Ctd Amb Batter</v>
      </c>
      <c r="BY30" s="63" t="s">
        <v>1004</v>
      </c>
      <c r="BZ30" s="242" t="s">
        <v>1419</v>
      </c>
      <c r="CB30" s="116"/>
      <c r="CC30" s="12" t="s">
        <v>55</v>
      </c>
      <c r="CD30" s="12" t="s">
        <v>62</v>
      </c>
      <c r="CE30" s="12" t="s">
        <v>1000</v>
      </c>
      <c r="CF30" s="244" t="s">
        <v>1035</v>
      </c>
      <c r="CG30" s="42" t="s">
        <v>1414</v>
      </c>
    </row>
    <row r="31" spans="7:98" x14ac:dyDescent="0.3">
      <c r="G31" s="12" t="s">
        <v>17</v>
      </c>
      <c r="H31" s="12" t="s">
        <v>330</v>
      </c>
      <c r="I31" s="12" t="s">
        <v>904</v>
      </c>
      <c r="J31" s="129" t="str">
        <f t="shared" si="10"/>
        <v>Satin Natural w/Inlay</v>
      </c>
      <c r="K31" s="129"/>
      <c r="L31" s="129"/>
      <c r="O31" s="13" t="s">
        <v>352</v>
      </c>
      <c r="P31" s="12" t="s">
        <v>902</v>
      </c>
      <c r="Q31" s="129" t="str">
        <f t="shared" si="9"/>
        <v>Satin Sable w/Inlay</v>
      </c>
      <c r="T31" s="15" t="s">
        <v>1352</v>
      </c>
      <c r="U31" s="92" t="s">
        <v>1353</v>
      </c>
      <c r="X31" s="14" t="s">
        <v>66</v>
      </c>
      <c r="Y31" s="13" t="s">
        <v>378</v>
      </c>
      <c r="Z31" s="129" t="str">
        <f t="shared" si="6"/>
        <v>Vintage Black Oyster</v>
      </c>
      <c r="AD31" s="144"/>
      <c r="AE31" s="13" t="s">
        <v>276</v>
      </c>
      <c r="AF31" s="15" t="s">
        <v>382</v>
      </c>
      <c r="AG31" s="129" t="str">
        <f t="shared" si="8"/>
        <v>Vintage White Marine</v>
      </c>
      <c r="AO31" s="14" t="s">
        <v>561</v>
      </c>
      <c r="AP31" s="12" t="s">
        <v>67</v>
      </c>
      <c r="AQ31" s="14" t="s">
        <v>16</v>
      </c>
      <c r="AR31" s="12" t="s">
        <v>948</v>
      </c>
      <c r="AS31" s="129" t="s">
        <v>1340</v>
      </c>
      <c r="AW31" s="12"/>
      <c r="AX31" s="12"/>
      <c r="AY31" s="12"/>
      <c r="AZ31" s="1"/>
      <c r="BN31" s="154" t="str">
        <f t="shared" si="3"/>
        <v>LT</v>
      </c>
      <c r="BO31" s="12" t="s">
        <v>178</v>
      </c>
      <c r="BP31" s="12" t="s">
        <v>994</v>
      </c>
      <c r="BQ31" s="244" t="str">
        <f t="shared" si="4"/>
        <v>{[12_15T]:[BA01]}</v>
      </c>
      <c r="BR31" s="42" t="str">
        <f t="shared" si="7"/>
        <v>Remo Ctd Amb Batter</v>
      </c>
      <c r="BY31" s="63" t="s">
        <v>1438</v>
      </c>
      <c r="BZ31" s="42" t="s">
        <v>1439</v>
      </c>
      <c r="CB31" s="116"/>
      <c r="CC31" s="12" t="s">
        <v>55</v>
      </c>
      <c r="CD31" s="12" t="s">
        <v>64</v>
      </c>
      <c r="CE31" s="12" t="s">
        <v>1000</v>
      </c>
      <c r="CF31" s="244" t="s">
        <v>1036</v>
      </c>
      <c r="CG31" s="42" t="s">
        <v>1414</v>
      </c>
    </row>
    <row r="32" spans="7:98" x14ac:dyDescent="0.3">
      <c r="G32" s="12" t="s">
        <v>17</v>
      </c>
      <c r="H32" s="12" t="s">
        <v>330</v>
      </c>
      <c r="I32" s="12" t="s">
        <v>26</v>
      </c>
      <c r="J32" s="129" t="str">
        <f t="shared" si="10"/>
        <v>Satin Sable</v>
      </c>
      <c r="K32" s="129"/>
      <c r="L32" s="129"/>
      <c r="O32" s="13" t="s">
        <v>299</v>
      </c>
      <c r="P32" s="12" t="s">
        <v>60</v>
      </c>
      <c r="Q32" s="129" t="str">
        <f t="shared" si="9"/>
        <v>Matching Hoop</v>
      </c>
      <c r="T32" s="15" t="s">
        <v>282</v>
      </c>
      <c r="U32" s="92" t="s">
        <v>1354</v>
      </c>
      <c r="X32" s="14" t="s">
        <v>66</v>
      </c>
      <c r="Y32" s="13" t="s">
        <v>380</v>
      </c>
      <c r="Z32" s="129" t="str">
        <f t="shared" si="6"/>
        <v>Vintage Blue Oyster</v>
      </c>
      <c r="AD32" s="144"/>
      <c r="AE32" s="13" t="s">
        <v>279</v>
      </c>
      <c r="AF32" s="15" t="s">
        <v>382</v>
      </c>
      <c r="AG32" s="129" t="str">
        <f t="shared" si="8"/>
        <v>Vintage White Marine</v>
      </c>
      <c r="AO32" s="14" t="s">
        <v>561</v>
      </c>
      <c r="AP32" s="12" t="s">
        <v>67</v>
      </c>
      <c r="AQ32" s="14" t="s">
        <v>16</v>
      </c>
      <c r="AR32" s="12" t="s">
        <v>946</v>
      </c>
      <c r="AS32" s="129" t="s">
        <v>1339</v>
      </c>
      <c r="AW32" s="16"/>
      <c r="AX32" s="12"/>
      <c r="AY32" s="77"/>
      <c r="AZ32" s="1"/>
      <c r="BN32" s="154" t="str">
        <f t="shared" si="3"/>
        <v>LF</v>
      </c>
      <c r="BO32" s="12" t="s">
        <v>118</v>
      </c>
      <c r="BP32" s="12" t="s">
        <v>994</v>
      </c>
      <c r="BQ32" s="244" t="str">
        <f t="shared" si="4"/>
        <v>{[13_15F]:[BA01]}</v>
      </c>
      <c r="BR32" s="42" t="str">
        <f t="shared" si="7"/>
        <v>Remo Ctd Amb Batter</v>
      </c>
      <c r="CB32" s="116"/>
      <c r="CC32" s="12" t="s">
        <v>55</v>
      </c>
      <c r="CD32" s="12" t="s">
        <v>68</v>
      </c>
      <c r="CE32" s="12" t="s">
        <v>1000</v>
      </c>
      <c r="CF32" s="244" t="s">
        <v>1037</v>
      </c>
      <c r="CG32" s="42" t="s">
        <v>1414</v>
      </c>
    </row>
    <row r="33" spans="7:85" x14ac:dyDescent="0.3">
      <c r="G33" s="12" t="s">
        <v>17</v>
      </c>
      <c r="H33" s="12" t="s">
        <v>330</v>
      </c>
      <c r="I33" s="12" t="s">
        <v>914</v>
      </c>
      <c r="J33" s="129" t="str">
        <f t="shared" si="10"/>
        <v>Satin Sable w/Accent</v>
      </c>
      <c r="K33" s="129"/>
      <c r="L33" s="129"/>
      <c r="O33" s="13" t="s">
        <v>301</v>
      </c>
      <c r="P33" s="12" t="s">
        <v>60</v>
      </c>
      <c r="Q33" s="129" t="str">
        <f t="shared" si="9"/>
        <v>Matching Hoop</v>
      </c>
      <c r="T33" s="15" t="s">
        <v>378</v>
      </c>
      <c r="U33" s="92" t="s">
        <v>379</v>
      </c>
      <c r="X33" s="14" t="s">
        <v>66</v>
      </c>
      <c r="Y33" s="13" t="s">
        <v>365</v>
      </c>
      <c r="Z33" s="129" t="str">
        <f t="shared" si="6"/>
        <v>Vintage Pink Oyster</v>
      </c>
      <c r="AD33" s="144"/>
      <c r="AE33" s="15" t="s">
        <v>280</v>
      </c>
      <c r="AF33" s="15" t="s">
        <v>382</v>
      </c>
      <c r="AG33" s="129" t="str">
        <f t="shared" si="8"/>
        <v>Vintage White Marine</v>
      </c>
      <c r="AO33" s="14" t="s">
        <v>561</v>
      </c>
      <c r="AP33" s="12" t="s">
        <v>67</v>
      </c>
      <c r="AQ33" s="14" t="s">
        <v>16</v>
      </c>
      <c r="AR33" s="12" t="s">
        <v>950</v>
      </c>
      <c r="AS33" s="129" t="s">
        <v>1341</v>
      </c>
      <c r="AW33" s="16"/>
      <c r="AX33" s="12"/>
      <c r="AY33" s="77"/>
      <c r="AZ33" s="1"/>
      <c r="BN33" s="154" t="str">
        <f t="shared" si="3"/>
        <v>LT</v>
      </c>
      <c r="BO33" s="12" t="s">
        <v>179</v>
      </c>
      <c r="BP33" s="12" t="s">
        <v>994</v>
      </c>
      <c r="BQ33" s="244" t="str">
        <f t="shared" si="4"/>
        <v>{[13_15T]:[BA01]}</v>
      </c>
      <c r="BR33" s="42" t="str">
        <f t="shared" si="7"/>
        <v>Remo Ctd Amb Batter</v>
      </c>
      <c r="CB33" s="116"/>
      <c r="CC33" s="12" t="s">
        <v>55</v>
      </c>
      <c r="CD33" s="12" t="s">
        <v>67</v>
      </c>
      <c r="CE33" s="12" t="s">
        <v>1000</v>
      </c>
      <c r="CF33" s="244" t="s">
        <v>1038</v>
      </c>
      <c r="CG33" s="42" t="s">
        <v>1414</v>
      </c>
    </row>
    <row r="34" spans="7:85" x14ac:dyDescent="0.3">
      <c r="G34" s="12" t="s">
        <v>17</v>
      </c>
      <c r="H34" s="12" t="s">
        <v>330</v>
      </c>
      <c r="I34" s="12" t="s">
        <v>321</v>
      </c>
      <c r="J34" s="129" t="str">
        <f t="shared" si="10"/>
        <v>Satin Natural</v>
      </c>
      <c r="K34" s="129"/>
      <c r="L34" s="129"/>
      <c r="O34" s="13" t="s">
        <v>354</v>
      </c>
      <c r="P34" s="12" t="s">
        <v>902</v>
      </c>
      <c r="Q34" s="129" t="str">
        <f t="shared" si="9"/>
        <v>Satin Sable w/Inlay</v>
      </c>
      <c r="T34" s="15" t="s">
        <v>380</v>
      </c>
      <c r="U34" s="92" t="s">
        <v>381</v>
      </c>
      <c r="X34" s="14" t="s">
        <v>66</v>
      </c>
      <c r="Y34" s="15" t="s">
        <v>382</v>
      </c>
      <c r="Z34" s="129" t="str">
        <f t="shared" si="6"/>
        <v>Vintage White Marine</v>
      </c>
      <c r="AD34" s="144"/>
      <c r="AE34" s="13" t="s">
        <v>330</v>
      </c>
      <c r="AF34" s="13" t="s">
        <v>330</v>
      </c>
      <c r="AG34" s="129" t="str">
        <f t="shared" si="8"/>
        <v>Aged Onyx</v>
      </c>
      <c r="AO34" s="14" t="s">
        <v>561</v>
      </c>
      <c r="AP34" s="12" t="s">
        <v>67</v>
      </c>
      <c r="AQ34" s="14" t="s">
        <v>16</v>
      </c>
      <c r="AR34" s="12" t="s">
        <v>954</v>
      </c>
      <c r="AS34" s="129" t="s">
        <v>1343</v>
      </c>
      <c r="AW34" s="12"/>
      <c r="AX34" s="12"/>
      <c r="AY34" s="12"/>
      <c r="AZ34" s="1"/>
      <c r="BN34" s="154" t="str">
        <f t="shared" si="3"/>
        <v>LF</v>
      </c>
      <c r="BO34" s="12" t="s">
        <v>122</v>
      </c>
      <c r="BP34" s="12" t="s">
        <v>994</v>
      </c>
      <c r="BQ34" s="244" t="str">
        <f t="shared" si="4"/>
        <v>{[14_15F]:[BA01]}</v>
      </c>
      <c r="BR34" s="42" t="str">
        <f t="shared" si="7"/>
        <v>Remo Ctd Amb Batter</v>
      </c>
      <c r="CB34" s="116"/>
      <c r="CC34" s="12" t="s">
        <v>55</v>
      </c>
      <c r="CD34" s="12" t="s">
        <v>71</v>
      </c>
      <c r="CE34" s="12" t="s">
        <v>1000</v>
      </c>
      <c r="CF34" s="244" t="s">
        <v>1039</v>
      </c>
      <c r="CG34" s="42" t="s">
        <v>1414</v>
      </c>
    </row>
    <row r="35" spans="7:85" x14ac:dyDescent="0.3">
      <c r="G35" s="12" t="s">
        <v>17</v>
      </c>
      <c r="H35" s="12" t="s">
        <v>330</v>
      </c>
      <c r="I35" s="12" t="s">
        <v>912</v>
      </c>
      <c r="J35" s="129" t="str">
        <f t="shared" si="10"/>
        <v>Satin Natural w/Accent</v>
      </c>
      <c r="K35" s="129"/>
      <c r="L35" s="129"/>
      <c r="O35" s="13" t="s">
        <v>303</v>
      </c>
      <c r="P35" s="12" t="s">
        <v>60</v>
      </c>
      <c r="Q35" s="129" t="str">
        <f t="shared" si="9"/>
        <v>Matching Hoop</v>
      </c>
      <c r="T35" s="15" t="s">
        <v>365</v>
      </c>
      <c r="U35" s="91" t="s">
        <v>366</v>
      </c>
      <c r="X35" s="14" t="s">
        <v>66</v>
      </c>
      <c r="Y35" s="13" t="s">
        <v>384</v>
      </c>
      <c r="Z35" s="129" t="str">
        <f t="shared" si="6"/>
        <v>White Cortex</v>
      </c>
      <c r="AD35" s="144"/>
      <c r="AE35" s="13" t="s">
        <v>333</v>
      </c>
      <c r="AF35" s="13" t="s">
        <v>333</v>
      </c>
      <c r="AG35" s="129" t="str">
        <f t="shared" si="8"/>
        <v>Black Cortex</v>
      </c>
      <c r="AO35" s="14" t="s">
        <v>561</v>
      </c>
      <c r="AP35" s="12" t="s">
        <v>67</v>
      </c>
      <c r="AQ35" s="14" t="s">
        <v>22</v>
      </c>
      <c r="AR35" s="12" t="s">
        <v>952</v>
      </c>
      <c r="AS35" s="129" t="s">
        <v>1342</v>
      </c>
      <c r="AW35" s="12"/>
      <c r="AX35" s="12"/>
      <c r="AY35" s="12"/>
      <c r="AZ35" s="1"/>
      <c r="BN35" s="154" t="str">
        <f t="shared" si="3"/>
        <v>LT</v>
      </c>
      <c r="BO35" s="12" t="s">
        <v>180</v>
      </c>
      <c r="BP35" s="12" t="s">
        <v>994</v>
      </c>
      <c r="BQ35" s="244" t="str">
        <f t="shared" si="4"/>
        <v>{[14_15T]:[BA01]}</v>
      </c>
      <c r="BR35" s="42" t="str">
        <f t="shared" si="7"/>
        <v>Remo Ctd Amb Batter</v>
      </c>
      <c r="CB35" s="116"/>
      <c r="CC35" s="12" t="s">
        <v>55</v>
      </c>
      <c r="CD35" s="12" t="s">
        <v>74</v>
      </c>
      <c r="CE35" s="12" t="s">
        <v>1000</v>
      </c>
      <c r="CF35" s="244" t="s">
        <v>1040</v>
      </c>
      <c r="CG35" s="42" t="s">
        <v>1414</v>
      </c>
    </row>
    <row r="36" spans="7:85" x14ac:dyDescent="0.3">
      <c r="G36" s="12" t="s">
        <v>17</v>
      </c>
      <c r="H36" s="12" t="s">
        <v>330</v>
      </c>
      <c r="I36" s="12" t="s">
        <v>309</v>
      </c>
      <c r="J36" s="129" t="str">
        <f t="shared" si="10"/>
        <v>Natural Hoop</v>
      </c>
      <c r="K36" s="129"/>
      <c r="L36" s="129"/>
      <c r="O36" s="13" t="s">
        <v>305</v>
      </c>
      <c r="P36" s="12" t="s">
        <v>60</v>
      </c>
      <c r="Q36" s="129" t="str">
        <f t="shared" si="9"/>
        <v>Matching Hoop</v>
      </c>
      <c r="T36" s="15" t="s">
        <v>382</v>
      </c>
      <c r="U36" s="92" t="s">
        <v>383</v>
      </c>
      <c r="X36" s="14" t="s">
        <v>66</v>
      </c>
      <c r="Y36" s="13" t="s">
        <v>387</v>
      </c>
      <c r="Z36" s="129" t="str">
        <f t="shared" si="6"/>
        <v>White Marine Pearl</v>
      </c>
      <c r="AD36" s="144"/>
      <c r="AE36" s="12" t="s">
        <v>204</v>
      </c>
      <c r="AF36" s="12" t="s">
        <v>204</v>
      </c>
      <c r="AG36" s="129" t="e">
        <f t="shared" si="8"/>
        <v>#N/A</v>
      </c>
      <c r="AO36" s="14" t="s">
        <v>561</v>
      </c>
      <c r="AP36" s="12" t="s">
        <v>67</v>
      </c>
      <c r="AQ36" s="14" t="s">
        <v>22</v>
      </c>
      <c r="AR36" s="12" t="s">
        <v>948</v>
      </c>
      <c r="AS36" s="129" t="s">
        <v>1340</v>
      </c>
      <c r="AW36" s="12"/>
      <c r="AX36" s="12"/>
      <c r="AY36" s="12"/>
      <c r="AZ36" s="1"/>
      <c r="BN36" s="154" t="str">
        <f t="shared" si="3"/>
        <v>LF</v>
      </c>
      <c r="BO36" s="12" t="s">
        <v>125</v>
      </c>
      <c r="BP36" s="12" t="s">
        <v>994</v>
      </c>
      <c r="BQ36" s="244" t="str">
        <f t="shared" si="4"/>
        <v>{[13_16F]:[BA01]}</v>
      </c>
      <c r="BR36" s="42" t="str">
        <f t="shared" si="7"/>
        <v>Remo Ctd Amb Batter</v>
      </c>
      <c r="CB36" s="116"/>
      <c r="CC36" s="12" t="s">
        <v>55</v>
      </c>
      <c r="CD36" s="12" t="s">
        <v>77</v>
      </c>
      <c r="CE36" s="12" t="s">
        <v>1000</v>
      </c>
      <c r="CF36" s="244" t="s">
        <v>1041</v>
      </c>
      <c r="CG36" s="42" t="s">
        <v>1414</v>
      </c>
    </row>
    <row r="37" spans="7:85" x14ac:dyDescent="0.3">
      <c r="G37" s="12" t="s">
        <v>17</v>
      </c>
      <c r="H37" s="12" t="s">
        <v>330</v>
      </c>
      <c r="I37" s="12" t="s">
        <v>907</v>
      </c>
      <c r="J37" s="129" t="str">
        <f t="shared" si="10"/>
        <v>Natural w/Inlay</v>
      </c>
      <c r="K37" s="129"/>
      <c r="L37" s="129"/>
      <c r="O37" s="13" t="s">
        <v>356</v>
      </c>
      <c r="P37" s="12" t="s">
        <v>902</v>
      </c>
      <c r="Q37" s="129" t="str">
        <f t="shared" si="9"/>
        <v>Satin Sable w/Inlay</v>
      </c>
      <c r="T37" s="15" t="s">
        <v>384</v>
      </c>
      <c r="U37" s="92" t="s">
        <v>385</v>
      </c>
      <c r="X37" s="14"/>
      <c r="Y37" s="15"/>
      <c r="Z37" s="129"/>
      <c r="AD37" s="144"/>
      <c r="AE37" s="13" t="s">
        <v>931</v>
      </c>
      <c r="AF37" s="13" t="s">
        <v>931</v>
      </c>
      <c r="AG37" s="129" t="str">
        <f t="shared" si="8"/>
        <v>Black Oyster Pearl</v>
      </c>
      <c r="AO37" s="14" t="s">
        <v>561</v>
      </c>
      <c r="AP37" s="12" t="s">
        <v>67</v>
      </c>
      <c r="AQ37" s="14" t="s">
        <v>22</v>
      </c>
      <c r="AR37" s="12" t="s">
        <v>946</v>
      </c>
      <c r="AS37" s="129" t="s">
        <v>1339</v>
      </c>
      <c r="AW37" s="16"/>
      <c r="AX37" s="12"/>
      <c r="AY37" s="77"/>
      <c r="AZ37" s="1"/>
      <c r="BN37" s="154" t="str">
        <f t="shared" si="3"/>
        <v>LT</v>
      </c>
      <c r="BO37" s="12" t="s">
        <v>181</v>
      </c>
      <c r="BP37" s="12" t="s">
        <v>994</v>
      </c>
      <c r="BQ37" s="244" t="str">
        <f t="shared" si="4"/>
        <v>{[13_16T]:[BA01]}</v>
      </c>
      <c r="BR37" s="42" t="str">
        <f t="shared" si="7"/>
        <v>Remo Ctd Amb Batter</v>
      </c>
      <c r="CB37" s="116"/>
      <c r="CC37" s="12" t="s">
        <v>55</v>
      </c>
      <c r="CD37" s="12" t="s">
        <v>81</v>
      </c>
      <c r="CE37" s="12" t="s">
        <v>1000</v>
      </c>
      <c r="CF37" s="244" t="s">
        <v>1042</v>
      </c>
      <c r="CG37" s="42" t="s">
        <v>1414</v>
      </c>
    </row>
    <row r="38" spans="7:85" x14ac:dyDescent="0.3">
      <c r="G38" s="12" t="s">
        <v>17</v>
      </c>
      <c r="H38" s="12" t="s">
        <v>330</v>
      </c>
      <c r="I38" s="12" t="s">
        <v>909</v>
      </c>
      <c r="J38" s="129" t="str">
        <f t="shared" si="10"/>
        <v>Natural w/Accent</v>
      </c>
      <c r="K38" s="129"/>
      <c r="L38" s="129"/>
      <c r="O38" s="13" t="s">
        <v>358</v>
      </c>
      <c r="P38" s="12" t="s">
        <v>902</v>
      </c>
      <c r="Q38" s="129" t="str">
        <f t="shared" si="9"/>
        <v>Satin Sable w/Inlay</v>
      </c>
      <c r="T38" s="15" t="s">
        <v>387</v>
      </c>
      <c r="U38" s="92" t="s">
        <v>388</v>
      </c>
      <c r="X38" s="14"/>
      <c r="Y38" s="13"/>
      <c r="Z38" s="129"/>
      <c r="AD38" s="144"/>
      <c r="AE38" s="15" t="s">
        <v>335</v>
      </c>
      <c r="AF38" s="15" t="s">
        <v>335</v>
      </c>
      <c r="AG38" s="129" t="str">
        <f t="shared" si="8"/>
        <v>Blue Olive Oyster</v>
      </c>
      <c r="AO38" s="14" t="s">
        <v>561</v>
      </c>
      <c r="AP38" s="12" t="s">
        <v>67</v>
      </c>
      <c r="AQ38" s="14" t="s">
        <v>22</v>
      </c>
      <c r="AR38" s="12" t="s">
        <v>950</v>
      </c>
      <c r="AS38" s="129" t="s">
        <v>1341</v>
      </c>
      <c r="AW38" s="16"/>
      <c r="AX38" s="12"/>
      <c r="AY38" s="77"/>
      <c r="AZ38" s="1"/>
      <c r="BN38" s="154" t="str">
        <f t="shared" si="3"/>
        <v>LF</v>
      </c>
      <c r="BO38" s="12" t="s">
        <v>126</v>
      </c>
      <c r="BP38" s="12" t="s">
        <v>994</v>
      </c>
      <c r="BQ38" s="244" t="str">
        <f t="shared" si="4"/>
        <v>{[14_16F]:[BA01]}</v>
      </c>
      <c r="BR38" s="42" t="str">
        <f t="shared" si="7"/>
        <v>Remo Ctd Amb Batter</v>
      </c>
      <c r="CB38" s="116"/>
      <c r="CC38" s="12" t="s">
        <v>55</v>
      </c>
      <c r="CD38" s="12" t="s">
        <v>83</v>
      </c>
      <c r="CE38" s="12" t="s">
        <v>1000</v>
      </c>
      <c r="CF38" s="244" t="s">
        <v>1043</v>
      </c>
      <c r="CG38" s="42" t="s">
        <v>1414</v>
      </c>
    </row>
    <row r="39" spans="7:85" x14ac:dyDescent="0.3">
      <c r="G39" s="12" t="s">
        <v>17</v>
      </c>
      <c r="H39" s="12" t="s">
        <v>330</v>
      </c>
      <c r="I39" s="12" t="s">
        <v>313</v>
      </c>
      <c r="J39" s="129" t="str">
        <f t="shared" si="10"/>
        <v>Sable Black</v>
      </c>
      <c r="K39" s="129"/>
      <c r="L39" s="129"/>
      <c r="O39" s="13" t="s">
        <v>272</v>
      </c>
      <c r="P39" s="12" t="s">
        <v>60</v>
      </c>
      <c r="Q39" s="129" t="str">
        <f t="shared" si="9"/>
        <v>Matching Hoop</v>
      </c>
      <c r="T39" s="15"/>
      <c r="U39" s="24"/>
      <c r="X39" s="14"/>
      <c r="Y39" s="13"/>
      <c r="Z39" s="129"/>
      <c r="AD39" s="144"/>
      <c r="AE39" s="13" t="s">
        <v>337</v>
      </c>
      <c r="AF39" s="13" t="s">
        <v>337</v>
      </c>
      <c r="AG39" s="129" t="str">
        <f t="shared" si="8"/>
        <v>Blue Sparkle</v>
      </c>
      <c r="AO39" s="14" t="s">
        <v>561</v>
      </c>
      <c r="AP39" s="12" t="s">
        <v>67</v>
      </c>
      <c r="AQ39" s="14" t="s">
        <v>22</v>
      </c>
      <c r="AR39" s="12" t="s">
        <v>954</v>
      </c>
      <c r="AS39" s="129" t="s">
        <v>1343</v>
      </c>
      <c r="AW39" s="12"/>
      <c r="AX39" s="12"/>
      <c r="AY39" s="12"/>
      <c r="AZ39" s="129"/>
      <c r="BN39" s="154" t="str">
        <f t="shared" si="3"/>
        <v>LT</v>
      </c>
      <c r="BO39" s="12" t="s">
        <v>182</v>
      </c>
      <c r="BP39" s="12" t="s">
        <v>994</v>
      </c>
      <c r="BQ39" s="244" t="str">
        <f t="shared" si="4"/>
        <v>{[14_16T]:[BA01]}</v>
      </c>
      <c r="BR39" s="42" t="str">
        <f t="shared" si="7"/>
        <v>Remo Ctd Amb Batter</v>
      </c>
      <c r="CB39" s="116"/>
      <c r="CC39" s="12" t="s">
        <v>55</v>
      </c>
      <c r="CD39" s="12" t="s">
        <v>85</v>
      </c>
      <c r="CE39" s="12" t="s">
        <v>1000</v>
      </c>
      <c r="CF39" s="244" t="s">
        <v>1044</v>
      </c>
      <c r="CG39" s="42" t="s">
        <v>1414</v>
      </c>
    </row>
    <row r="40" spans="7:85" x14ac:dyDescent="0.3">
      <c r="G40" s="12" t="s">
        <v>19</v>
      </c>
      <c r="H40" s="12" t="s">
        <v>330</v>
      </c>
      <c r="I40" s="12" t="s">
        <v>902</v>
      </c>
      <c r="J40" s="129" t="str">
        <f t="shared" si="10"/>
        <v>Satin Sable w/Inlay</v>
      </c>
      <c r="K40" s="129"/>
      <c r="L40" s="129"/>
      <c r="O40" s="13" t="s">
        <v>275</v>
      </c>
      <c r="P40" s="12" t="s">
        <v>60</v>
      </c>
      <c r="Q40" s="129" t="str">
        <f t="shared" si="9"/>
        <v>Matching Hoop</v>
      </c>
      <c r="T40" s="15"/>
      <c r="U40" s="24"/>
      <c r="X40" s="14"/>
      <c r="Y40" s="13"/>
      <c r="Z40" s="129"/>
      <c r="AD40" s="144"/>
      <c r="AE40" s="13" t="s">
        <v>283</v>
      </c>
      <c r="AF40" s="13" t="s">
        <v>283</v>
      </c>
      <c r="AG40" s="129" t="str">
        <f t="shared" si="8"/>
        <v>Blue Super Sparkle</v>
      </c>
      <c r="AO40" s="14" t="s">
        <v>561</v>
      </c>
      <c r="AP40" s="12" t="s">
        <v>83</v>
      </c>
      <c r="AQ40" s="14" t="s">
        <v>518</v>
      </c>
      <c r="AR40" s="12" t="s">
        <v>952</v>
      </c>
      <c r="AS40" s="129" t="s">
        <v>1342</v>
      </c>
      <c r="AW40" s="12"/>
      <c r="AX40" s="12"/>
      <c r="AY40" s="12"/>
      <c r="AZ40" s="129"/>
      <c r="BN40" s="154" t="str">
        <f t="shared" si="3"/>
        <v>LF</v>
      </c>
      <c r="BO40" s="12" t="s">
        <v>128</v>
      </c>
      <c r="BP40" s="12" t="s">
        <v>994</v>
      </c>
      <c r="BQ40" s="244" t="str">
        <f t="shared" si="4"/>
        <v>{[15_16F]:[BA01]}</v>
      </c>
      <c r="BR40" s="42" t="str">
        <f t="shared" si="7"/>
        <v>Remo Ctd Amb Batter</v>
      </c>
      <c r="CB40" s="116"/>
      <c r="CC40" s="12" t="s">
        <v>55</v>
      </c>
      <c r="CD40" s="12" t="s">
        <v>88</v>
      </c>
      <c r="CE40" s="12" t="s">
        <v>1000</v>
      </c>
      <c r="CF40" s="244" t="s">
        <v>1045</v>
      </c>
      <c r="CG40" s="42" t="s">
        <v>1414</v>
      </c>
    </row>
    <row r="41" spans="7:85" x14ac:dyDescent="0.3">
      <c r="G41" s="12" t="s">
        <v>19</v>
      </c>
      <c r="H41" s="12" t="s">
        <v>330</v>
      </c>
      <c r="I41" s="12" t="s">
        <v>904</v>
      </c>
      <c r="J41" s="129" t="str">
        <f t="shared" si="10"/>
        <v>Satin Natural w/Inlay</v>
      </c>
      <c r="K41" s="129"/>
      <c r="L41" s="129"/>
      <c r="O41" s="13" t="s">
        <v>59</v>
      </c>
      <c r="P41" s="12" t="s">
        <v>902</v>
      </c>
      <c r="Q41" s="129" t="str">
        <f t="shared" si="9"/>
        <v>Satin Sable w/Inlay</v>
      </c>
      <c r="T41" s="15"/>
      <c r="U41" s="24"/>
      <c r="X41" s="14"/>
      <c r="Y41" s="13"/>
      <c r="Z41" s="129"/>
      <c r="AD41" s="144"/>
      <c r="AE41" s="13" t="s">
        <v>1349</v>
      </c>
      <c r="AF41" s="13" t="s">
        <v>1349</v>
      </c>
      <c r="AG41" s="129" t="str">
        <f t="shared" si="8"/>
        <v>Butterscotch Pearl</v>
      </c>
      <c r="AO41" s="14" t="s">
        <v>561</v>
      </c>
      <c r="AP41" s="12" t="s">
        <v>83</v>
      </c>
      <c r="AQ41" s="14" t="s">
        <v>518</v>
      </c>
      <c r="AR41" s="12" t="s">
        <v>948</v>
      </c>
      <c r="AS41" s="129" t="s">
        <v>1340</v>
      </c>
      <c r="AW41" s="12"/>
      <c r="AX41" s="12"/>
      <c r="AY41" s="12"/>
      <c r="AZ41" s="129"/>
      <c r="BN41" s="154" t="str">
        <f t="shared" si="3"/>
        <v>LT</v>
      </c>
      <c r="BO41" s="12" t="s">
        <v>183</v>
      </c>
      <c r="BP41" s="12" t="s">
        <v>994</v>
      </c>
      <c r="BQ41" s="244" t="str">
        <f t="shared" si="4"/>
        <v>{[15_16T]:[BA01]}</v>
      </c>
      <c r="BR41" s="42" t="str">
        <f t="shared" si="7"/>
        <v>Remo Ctd Amb Batter</v>
      </c>
      <c r="CB41" s="116"/>
      <c r="CC41" s="12" t="s">
        <v>55</v>
      </c>
      <c r="CD41" s="12" t="s">
        <v>90</v>
      </c>
      <c r="CE41" s="12" t="s">
        <v>1000</v>
      </c>
      <c r="CF41" s="244" t="s">
        <v>1046</v>
      </c>
      <c r="CG41" s="42" t="s">
        <v>1414</v>
      </c>
    </row>
    <row r="42" spans="7:85" x14ac:dyDescent="0.3">
      <c r="G42" s="12" t="s">
        <v>19</v>
      </c>
      <c r="H42" s="12" t="s">
        <v>330</v>
      </c>
      <c r="I42" s="12" t="s">
        <v>26</v>
      </c>
      <c r="J42" s="129" t="str">
        <f t="shared" si="10"/>
        <v>Satin Sable</v>
      </c>
      <c r="K42" s="129"/>
      <c r="L42" s="129"/>
      <c r="O42" s="13" t="s">
        <v>307</v>
      </c>
      <c r="P42" s="12" t="s">
        <v>60</v>
      </c>
      <c r="Q42" s="129" t="str">
        <f t="shared" si="9"/>
        <v>Matching Hoop</v>
      </c>
      <c r="T42" s="146"/>
      <c r="U42" s="76"/>
      <c r="X42" s="14"/>
      <c r="Y42" s="13"/>
      <c r="Z42" s="129"/>
      <c r="AD42" s="144"/>
      <c r="AE42" s="13" t="s">
        <v>339</v>
      </c>
      <c r="AF42" s="13" t="s">
        <v>339</v>
      </c>
      <c r="AG42" s="129" t="str">
        <f t="shared" si="8"/>
        <v>Citrus Mod</v>
      </c>
      <c r="AO42" s="14" t="s">
        <v>561</v>
      </c>
      <c r="AP42" s="12" t="s">
        <v>83</v>
      </c>
      <c r="AQ42" s="14" t="s">
        <v>518</v>
      </c>
      <c r="AR42" s="12" t="s">
        <v>946</v>
      </c>
      <c r="AS42" s="129" t="s">
        <v>1339</v>
      </c>
      <c r="AW42" s="16"/>
      <c r="AX42" s="12"/>
      <c r="AY42" s="77"/>
      <c r="AZ42" s="129"/>
      <c r="BN42" s="154" t="str">
        <f t="shared" si="3"/>
        <v>LF</v>
      </c>
      <c r="BO42" s="12" t="s">
        <v>129</v>
      </c>
      <c r="BP42" s="12" t="s">
        <v>994</v>
      </c>
      <c r="BQ42" s="244" t="str">
        <f t="shared" si="4"/>
        <v>{[16_16F]:[BA01]}</v>
      </c>
      <c r="BR42" s="42" t="str">
        <f t="shared" si="7"/>
        <v>Remo Ctd Amb Batter</v>
      </c>
      <c r="CB42" s="116"/>
      <c r="CC42" s="12" t="s">
        <v>55</v>
      </c>
      <c r="CD42" s="12" t="s">
        <v>93</v>
      </c>
      <c r="CE42" s="12" t="s">
        <v>1000</v>
      </c>
      <c r="CF42" s="244" t="s">
        <v>1047</v>
      </c>
      <c r="CG42" s="42" t="s">
        <v>1414</v>
      </c>
    </row>
    <row r="43" spans="7:85" x14ac:dyDescent="0.3">
      <c r="G43" s="12" t="s">
        <v>19</v>
      </c>
      <c r="H43" s="12" t="s">
        <v>330</v>
      </c>
      <c r="I43" s="12" t="s">
        <v>914</v>
      </c>
      <c r="J43" s="129" t="str">
        <f t="shared" si="10"/>
        <v>Satin Sable w/Accent</v>
      </c>
      <c r="K43" s="129"/>
      <c r="L43" s="129"/>
      <c r="O43" s="13" t="s">
        <v>932</v>
      </c>
      <c r="P43" s="12" t="s">
        <v>902</v>
      </c>
      <c r="Q43" s="129" t="str">
        <f t="shared" si="9"/>
        <v>Satin Sable w/Inlay</v>
      </c>
      <c r="T43" s="15"/>
      <c r="U43" s="24"/>
      <c r="X43" s="14"/>
      <c r="Y43" s="13"/>
      <c r="Z43" s="129"/>
      <c r="AD43" s="144"/>
      <c r="AE43" s="13" t="s">
        <v>341</v>
      </c>
      <c r="AF43" s="13" t="s">
        <v>341</v>
      </c>
      <c r="AG43" s="129" t="str">
        <f t="shared" si="8"/>
        <v>Classic Olive Pearl</v>
      </c>
      <c r="AO43" s="14" t="s">
        <v>561</v>
      </c>
      <c r="AP43" s="12" t="s">
        <v>83</v>
      </c>
      <c r="AQ43" s="14" t="s">
        <v>518</v>
      </c>
      <c r="AR43" s="12" t="s">
        <v>950</v>
      </c>
      <c r="AS43" s="129" t="s">
        <v>1341</v>
      </c>
      <c r="AW43" s="16"/>
      <c r="AX43" s="12"/>
      <c r="AY43" s="77"/>
      <c r="AZ43" s="129"/>
      <c r="BN43" s="154" t="str">
        <f t="shared" si="3"/>
        <v>LT</v>
      </c>
      <c r="BO43" s="12" t="s">
        <v>184</v>
      </c>
      <c r="BP43" s="12" t="s">
        <v>994</v>
      </c>
      <c r="BQ43" s="244" t="str">
        <f t="shared" si="4"/>
        <v>{[16_16T]:[BA01]}</v>
      </c>
      <c r="BR43" s="42" t="str">
        <f t="shared" si="7"/>
        <v>Remo Ctd Amb Batter</v>
      </c>
      <c r="CB43" s="116"/>
      <c r="CC43" s="12" t="s">
        <v>55</v>
      </c>
      <c r="CD43" s="12" t="s">
        <v>95</v>
      </c>
      <c r="CE43" s="12" t="s">
        <v>1000</v>
      </c>
      <c r="CF43" s="244" t="s">
        <v>1048</v>
      </c>
      <c r="CG43" s="42" t="s">
        <v>1414</v>
      </c>
    </row>
    <row r="44" spans="7:85" x14ac:dyDescent="0.3">
      <c r="G44" s="12" t="s">
        <v>19</v>
      </c>
      <c r="H44" s="12" t="s">
        <v>330</v>
      </c>
      <c r="I44" s="12" t="s">
        <v>321</v>
      </c>
      <c r="J44" s="129" t="str">
        <f t="shared" si="10"/>
        <v>Satin Natural</v>
      </c>
      <c r="K44" s="129"/>
      <c r="L44" s="129"/>
      <c r="O44" s="13" t="s">
        <v>361</v>
      </c>
      <c r="P44" s="12" t="s">
        <v>902</v>
      </c>
      <c r="Q44" s="129" t="str">
        <f t="shared" si="9"/>
        <v>Satin Sable w/Inlay</v>
      </c>
      <c r="T44" s="15"/>
      <c r="U44" s="24"/>
      <c r="X44" s="14"/>
      <c r="Y44" s="13"/>
      <c r="Z44" s="129"/>
      <c r="AD44" s="144"/>
      <c r="AE44" s="13" t="s">
        <v>343</v>
      </c>
      <c r="AF44" s="13" t="s">
        <v>343</v>
      </c>
      <c r="AG44" s="129" t="e">
        <f t="shared" si="8"/>
        <v>#N/A</v>
      </c>
      <c r="AO44" s="14" t="s">
        <v>561</v>
      </c>
      <c r="AP44" s="12" t="s">
        <v>83</v>
      </c>
      <c r="AQ44" s="14" t="s">
        <v>518</v>
      </c>
      <c r="AR44" s="12" t="s">
        <v>954</v>
      </c>
      <c r="AS44" s="129" t="s">
        <v>1343</v>
      </c>
      <c r="AW44" s="12"/>
      <c r="AX44" s="12"/>
      <c r="AY44" s="12"/>
      <c r="AZ44" s="129"/>
      <c r="BN44" s="154" t="str">
        <f t="shared" si="3"/>
        <v>LF</v>
      </c>
      <c r="BO44" s="12" t="s">
        <v>131</v>
      </c>
      <c r="BP44" s="12" t="s">
        <v>994</v>
      </c>
      <c r="BQ44" s="244" t="str">
        <f t="shared" si="4"/>
        <v>{[16_18F]:[BA01]}</v>
      </c>
      <c r="BR44" s="42" t="str">
        <f t="shared" si="7"/>
        <v>Remo Ctd Amb Batter</v>
      </c>
      <c r="CB44" s="116"/>
      <c r="CC44" s="12" t="s">
        <v>55</v>
      </c>
      <c r="CD44" s="12" t="s">
        <v>100</v>
      </c>
      <c r="CE44" s="12" t="s">
        <v>1000</v>
      </c>
      <c r="CF44" s="244" t="s">
        <v>1049</v>
      </c>
      <c r="CG44" s="42" t="s">
        <v>1414</v>
      </c>
    </row>
    <row r="45" spans="7:85" x14ac:dyDescent="0.3">
      <c r="G45" s="12" t="s">
        <v>19</v>
      </c>
      <c r="H45" s="12" t="s">
        <v>330</v>
      </c>
      <c r="I45" s="12" t="s">
        <v>912</v>
      </c>
      <c r="J45" s="129" t="str">
        <f t="shared" si="10"/>
        <v>Satin Natural w/Accent</v>
      </c>
      <c r="K45" s="129"/>
      <c r="L45" s="129"/>
      <c r="O45" s="13" t="s">
        <v>309</v>
      </c>
      <c r="P45" s="12" t="s">
        <v>60</v>
      </c>
      <c r="Q45" s="129" t="str">
        <f t="shared" si="9"/>
        <v>Matching Hoop</v>
      </c>
      <c r="T45" s="15"/>
      <c r="U45" s="24"/>
      <c r="X45" s="14"/>
      <c r="Y45" s="13"/>
      <c r="Z45" s="129"/>
      <c r="AD45" s="144"/>
      <c r="AE45" s="13" t="s">
        <v>344</v>
      </c>
      <c r="AF45" s="13" t="s">
        <v>344</v>
      </c>
      <c r="AG45" s="129" t="str">
        <f t="shared" si="8"/>
        <v>Customer Supply</v>
      </c>
      <c r="AO45" s="14" t="s">
        <v>561</v>
      </c>
      <c r="AP45" s="12" t="s">
        <v>83</v>
      </c>
      <c r="AQ45" s="14" t="s">
        <v>16</v>
      </c>
      <c r="AR45" s="12" t="s">
        <v>948</v>
      </c>
      <c r="AS45" s="129" t="s">
        <v>1340</v>
      </c>
      <c r="AW45" s="12"/>
      <c r="AX45" s="12"/>
      <c r="AY45" s="12"/>
      <c r="AZ45" s="129"/>
      <c r="BN45" s="154" t="str">
        <f t="shared" si="3"/>
        <v>LT</v>
      </c>
      <c r="BO45" s="12" t="s">
        <v>205</v>
      </c>
      <c r="BP45" s="12" t="s">
        <v>994</v>
      </c>
      <c r="BQ45" s="244" t="str">
        <f t="shared" si="4"/>
        <v>{[16_18T]:[BA01]}</v>
      </c>
      <c r="BR45" s="42" t="str">
        <f t="shared" si="7"/>
        <v>Remo Ctd Amb Batter</v>
      </c>
      <c r="CB45" s="116"/>
      <c r="CC45" s="12" t="s">
        <v>55</v>
      </c>
      <c r="CD45" s="12" t="s">
        <v>104</v>
      </c>
      <c r="CE45" s="12" t="s">
        <v>1000</v>
      </c>
      <c r="CF45" s="244" t="s">
        <v>1050</v>
      </c>
      <c r="CG45" s="42" t="s">
        <v>1414</v>
      </c>
    </row>
    <row r="46" spans="7:85" x14ac:dyDescent="0.3">
      <c r="G46" s="12" t="s">
        <v>19</v>
      </c>
      <c r="H46" s="12" t="s">
        <v>330</v>
      </c>
      <c r="I46" s="12" t="s">
        <v>309</v>
      </c>
      <c r="J46" s="129" t="str">
        <f t="shared" si="10"/>
        <v>Natural Hoop</v>
      </c>
      <c r="K46" s="129"/>
      <c r="L46" s="129"/>
      <c r="O46" s="13" t="s">
        <v>311</v>
      </c>
      <c r="P46" s="12" t="s">
        <v>60</v>
      </c>
      <c r="Q46" s="129" t="str">
        <f t="shared" si="9"/>
        <v>Matching Hoop</v>
      </c>
      <c r="T46" s="15"/>
      <c r="U46" s="24"/>
      <c r="X46" s="14"/>
      <c r="Y46" s="13"/>
      <c r="Z46" s="129"/>
      <c r="AD46" s="144"/>
      <c r="AE46" s="13" t="s">
        <v>346</v>
      </c>
      <c r="AF46" s="13" t="s">
        <v>346</v>
      </c>
      <c r="AG46" s="129" t="str">
        <f t="shared" si="8"/>
        <v>Digital Blk Sprkl</v>
      </c>
      <c r="AO46" s="14" t="s">
        <v>561</v>
      </c>
      <c r="AP46" s="12" t="s">
        <v>83</v>
      </c>
      <c r="AQ46" s="14" t="s">
        <v>16</v>
      </c>
      <c r="AR46" s="12" t="s">
        <v>946</v>
      </c>
      <c r="AS46" s="129" t="s">
        <v>1339</v>
      </c>
      <c r="AW46" s="12"/>
      <c r="AX46" s="12"/>
      <c r="AY46" s="12"/>
      <c r="AZ46" s="129"/>
      <c r="BN46" s="154" t="str">
        <f t="shared" si="3"/>
        <v>LT</v>
      </c>
      <c r="BO46" s="12" t="s">
        <v>206</v>
      </c>
      <c r="BP46" s="12" t="s">
        <v>995</v>
      </c>
      <c r="BQ46" s="244" t="str">
        <f t="shared" si="4"/>
        <v>{[6_6T]:[BA03]}</v>
      </c>
      <c r="BR46" s="42" t="str">
        <f t="shared" si="7"/>
        <v>Remo Clear Amb Batter</v>
      </c>
      <c r="CB46" s="116"/>
      <c r="CC46" s="12" t="s">
        <v>55</v>
      </c>
      <c r="CD46" s="12" t="s">
        <v>45</v>
      </c>
      <c r="CE46" s="12" t="s">
        <v>1003</v>
      </c>
      <c r="CF46" s="244" t="s">
        <v>1051</v>
      </c>
      <c r="CG46" s="42" t="s">
        <v>1415</v>
      </c>
    </row>
    <row r="47" spans="7:85" x14ac:dyDescent="0.3">
      <c r="G47" s="12" t="s">
        <v>19</v>
      </c>
      <c r="H47" s="12" t="s">
        <v>330</v>
      </c>
      <c r="I47" s="12" t="s">
        <v>313</v>
      </c>
      <c r="J47" s="129" t="str">
        <f t="shared" si="10"/>
        <v>Sable Black</v>
      </c>
      <c r="K47" s="129"/>
      <c r="L47" s="129"/>
      <c r="O47" s="15" t="s">
        <v>363</v>
      </c>
      <c r="P47" s="12" t="s">
        <v>902</v>
      </c>
      <c r="Q47" s="129" t="str">
        <f t="shared" si="9"/>
        <v>Satin Sable w/Inlay</v>
      </c>
      <c r="T47" s="13"/>
      <c r="U47" s="22"/>
      <c r="X47" s="14"/>
      <c r="Y47" s="13"/>
      <c r="Z47" s="129"/>
      <c r="AD47" s="144"/>
      <c r="AE47" s="13" t="s">
        <v>348</v>
      </c>
      <c r="AF47" s="13" t="s">
        <v>348</v>
      </c>
      <c r="AG47" s="129" t="str">
        <f t="shared" si="8"/>
        <v>Fire Burst</v>
      </c>
      <c r="AO47" s="14" t="s">
        <v>561</v>
      </c>
      <c r="AP47" s="12" t="s">
        <v>83</v>
      </c>
      <c r="AQ47" s="14" t="s">
        <v>16</v>
      </c>
      <c r="AR47" s="12" t="s">
        <v>950</v>
      </c>
      <c r="AS47" s="129" t="s">
        <v>1341</v>
      </c>
      <c r="AW47" s="16"/>
      <c r="AX47" s="12"/>
      <c r="AY47" s="77"/>
      <c r="AZ47" s="129"/>
      <c r="BN47" s="154" t="str">
        <f t="shared" si="3"/>
        <v>LT</v>
      </c>
      <c r="BO47" s="12" t="s">
        <v>132</v>
      </c>
      <c r="BP47" s="12" t="s">
        <v>995</v>
      </c>
      <c r="BQ47" s="244" t="str">
        <f t="shared" si="4"/>
        <v>{[7_6T]:[BA03]}</v>
      </c>
      <c r="BR47" s="42" t="str">
        <f t="shared" si="7"/>
        <v>Remo Clear Amb Batter</v>
      </c>
      <c r="CB47" s="116"/>
      <c r="CC47" s="12" t="s">
        <v>55</v>
      </c>
      <c r="CD47" s="12" t="s">
        <v>49</v>
      </c>
      <c r="CE47" s="12" t="s">
        <v>1003</v>
      </c>
      <c r="CF47" s="244" t="s">
        <v>1052</v>
      </c>
      <c r="CG47" s="42" t="s">
        <v>1415</v>
      </c>
    </row>
    <row r="48" spans="7:85" x14ac:dyDescent="0.3">
      <c r="G48" s="12" t="s">
        <v>15</v>
      </c>
      <c r="H48" s="12" t="s">
        <v>284</v>
      </c>
      <c r="I48" s="12" t="s">
        <v>60</v>
      </c>
      <c r="J48" s="129" t="str">
        <f t="shared" si="10"/>
        <v>Matching Hoop</v>
      </c>
      <c r="K48" s="129"/>
      <c r="L48" s="129"/>
      <c r="O48" s="13" t="s">
        <v>367</v>
      </c>
      <c r="P48" s="12" t="s">
        <v>902</v>
      </c>
      <c r="Q48" s="129" t="str">
        <f t="shared" si="9"/>
        <v>Satin Sable w/Inlay</v>
      </c>
      <c r="T48" s="13"/>
      <c r="U48" s="22"/>
      <c r="X48" s="14"/>
      <c r="Y48" s="13"/>
      <c r="Z48" s="129"/>
      <c r="AD48" s="144"/>
      <c r="AE48" s="13" t="s">
        <v>350</v>
      </c>
      <c r="AF48" s="13" t="s">
        <v>350</v>
      </c>
      <c r="AG48" s="129" t="str">
        <f t="shared" si="8"/>
        <v>Glacier Blue</v>
      </c>
      <c r="AO48" s="14" t="s">
        <v>561</v>
      </c>
      <c r="AP48" s="12" t="s">
        <v>83</v>
      </c>
      <c r="AQ48" s="14" t="s">
        <v>16</v>
      </c>
      <c r="AR48" s="12" t="s">
        <v>954</v>
      </c>
      <c r="AS48" s="129" t="s">
        <v>1343</v>
      </c>
      <c r="AW48" s="16"/>
      <c r="AX48" s="12"/>
      <c r="AY48" s="77"/>
      <c r="AZ48" s="129"/>
      <c r="BN48" s="154" t="str">
        <f t="shared" si="3"/>
        <v>LT</v>
      </c>
      <c r="BO48" s="12" t="s">
        <v>133</v>
      </c>
      <c r="BP48" s="12" t="s">
        <v>995</v>
      </c>
      <c r="BQ48" s="244" t="str">
        <f t="shared" si="4"/>
        <v>{[8_6T]:[BA03]}</v>
      </c>
      <c r="BR48" s="42" t="str">
        <f t="shared" si="7"/>
        <v>Remo Clear Amb Batter</v>
      </c>
      <c r="CB48" s="116"/>
      <c r="CC48" s="12" t="s">
        <v>55</v>
      </c>
      <c r="CD48" s="12" t="s">
        <v>51</v>
      </c>
      <c r="CE48" s="12" t="s">
        <v>1003</v>
      </c>
      <c r="CF48" s="244" t="s">
        <v>1053</v>
      </c>
      <c r="CG48" s="42" t="s">
        <v>1415</v>
      </c>
    </row>
    <row r="49" spans="7:85" x14ac:dyDescent="0.3">
      <c r="G49" s="12" t="s">
        <v>15</v>
      </c>
      <c r="H49" s="12" t="s">
        <v>284</v>
      </c>
      <c r="I49" s="105" t="s">
        <v>1259</v>
      </c>
      <c r="J49" s="129" t="str">
        <f t="shared" si="10"/>
        <v>Matching Hoop w/Accent</v>
      </c>
      <c r="K49" s="129"/>
      <c r="L49" s="129"/>
      <c r="O49" s="15" t="s">
        <v>369</v>
      </c>
      <c r="P49" s="12" t="s">
        <v>902</v>
      </c>
      <c r="Q49" s="129" t="str">
        <f t="shared" si="9"/>
        <v>Satin Sable w/Inlay</v>
      </c>
      <c r="T49" s="13"/>
      <c r="U49" s="22"/>
      <c r="X49" s="14"/>
      <c r="Y49" s="13"/>
      <c r="Z49" s="129"/>
      <c r="AD49" s="144"/>
      <c r="AE49" s="13" t="s">
        <v>352</v>
      </c>
      <c r="AF49" s="13" t="s">
        <v>352</v>
      </c>
      <c r="AG49" s="129" t="str">
        <f t="shared" si="8"/>
        <v>Gold Sparkle</v>
      </c>
      <c r="AO49" s="14" t="s">
        <v>561</v>
      </c>
      <c r="AP49" s="12" t="s">
        <v>83</v>
      </c>
      <c r="AQ49" s="14" t="s">
        <v>22</v>
      </c>
      <c r="AR49" s="12" t="s">
        <v>952</v>
      </c>
      <c r="AS49" s="129" t="s">
        <v>1342</v>
      </c>
      <c r="AW49" s="12"/>
      <c r="AX49" s="12"/>
      <c r="AY49" s="12"/>
      <c r="AZ49" s="129"/>
      <c r="BN49" s="154" t="str">
        <f t="shared" si="3"/>
        <v>LT</v>
      </c>
      <c r="BO49" s="12" t="s">
        <v>207</v>
      </c>
      <c r="BP49" s="12" t="s">
        <v>995</v>
      </c>
      <c r="BQ49" s="244" t="str">
        <f t="shared" si="4"/>
        <v>{[6_8T]:[BA03]}</v>
      </c>
      <c r="BR49" s="42" t="str">
        <f t="shared" si="7"/>
        <v>Remo Clear Amb Batter</v>
      </c>
      <c r="CB49" s="116"/>
      <c r="CC49" s="12" t="s">
        <v>55</v>
      </c>
      <c r="CD49" s="12" t="s">
        <v>54</v>
      </c>
      <c r="CE49" s="12" t="s">
        <v>1003</v>
      </c>
      <c r="CF49" s="244" t="s">
        <v>1054</v>
      </c>
      <c r="CG49" s="42" t="s">
        <v>1415</v>
      </c>
    </row>
    <row r="50" spans="7:85" x14ac:dyDescent="0.3">
      <c r="G50" s="12" t="s">
        <v>15</v>
      </c>
      <c r="H50" s="12" t="s">
        <v>284</v>
      </c>
      <c r="I50" s="12" t="s">
        <v>309</v>
      </c>
      <c r="J50" s="129" t="str">
        <f t="shared" si="10"/>
        <v>Natural Hoop</v>
      </c>
      <c r="K50" s="129"/>
      <c r="L50" s="129"/>
      <c r="O50" s="13" t="s">
        <v>313</v>
      </c>
      <c r="P50" s="12" t="s">
        <v>60</v>
      </c>
      <c r="Q50" s="129" t="str">
        <f t="shared" si="9"/>
        <v>Matching Hoop</v>
      </c>
      <c r="T50" s="13"/>
      <c r="U50" s="22"/>
      <c r="X50" s="14"/>
      <c r="Y50" s="13"/>
      <c r="Z50" s="129"/>
      <c r="AD50" s="144"/>
      <c r="AE50" s="13" t="s">
        <v>354</v>
      </c>
      <c r="AF50" s="13" t="s">
        <v>354</v>
      </c>
      <c r="AG50" s="129" t="str">
        <f t="shared" si="8"/>
        <v>Green Sparkle</v>
      </c>
      <c r="AO50" s="14" t="s">
        <v>561</v>
      </c>
      <c r="AP50" s="12" t="s">
        <v>83</v>
      </c>
      <c r="AQ50" s="14" t="s">
        <v>22</v>
      </c>
      <c r="AR50" s="12" t="s">
        <v>948</v>
      </c>
      <c r="AS50" s="129" t="s">
        <v>1340</v>
      </c>
      <c r="AW50" s="12"/>
      <c r="AX50" s="12"/>
      <c r="AY50" s="12"/>
      <c r="AZ50" s="129"/>
      <c r="BN50" s="154" t="str">
        <f t="shared" si="3"/>
        <v>LT</v>
      </c>
      <c r="BO50" s="12" t="s">
        <v>134</v>
      </c>
      <c r="BP50" s="12" t="s">
        <v>995</v>
      </c>
      <c r="BQ50" s="244" t="str">
        <f t="shared" si="4"/>
        <v>{[7_8T]:[BA03]}</v>
      </c>
      <c r="BR50" s="42" t="str">
        <f t="shared" si="7"/>
        <v>Remo Clear Amb Batter</v>
      </c>
      <c r="CB50" s="116"/>
      <c r="CC50" s="12" t="s">
        <v>55</v>
      </c>
      <c r="CD50" s="12" t="s">
        <v>58</v>
      </c>
      <c r="CE50" s="12" t="s">
        <v>1003</v>
      </c>
      <c r="CF50" s="244" t="s">
        <v>1055</v>
      </c>
      <c r="CG50" s="42" t="s">
        <v>1415</v>
      </c>
    </row>
    <row r="51" spans="7:85" x14ac:dyDescent="0.3">
      <c r="G51" s="12" t="s">
        <v>16</v>
      </c>
      <c r="H51" s="12" t="s">
        <v>284</v>
      </c>
      <c r="I51" s="12" t="s">
        <v>60</v>
      </c>
      <c r="J51" s="129" t="str">
        <f t="shared" si="10"/>
        <v>Matching Hoop</v>
      </c>
      <c r="K51" s="129"/>
      <c r="L51" s="129"/>
      <c r="O51" s="13" t="s">
        <v>315</v>
      </c>
      <c r="P51" s="12" t="s">
        <v>60</v>
      </c>
      <c r="Q51" s="129" t="str">
        <f t="shared" si="9"/>
        <v>Matching Hoop</v>
      </c>
      <c r="T51" s="13"/>
      <c r="U51" s="22"/>
      <c r="X51" s="14"/>
      <c r="Y51" s="13"/>
      <c r="Z51" s="129"/>
      <c r="AD51" s="144"/>
      <c r="AE51" s="13" t="s">
        <v>356</v>
      </c>
      <c r="AF51" s="13" t="s">
        <v>356</v>
      </c>
      <c r="AG51" s="129" t="str">
        <f t="shared" si="8"/>
        <v>Hybrid Black Sparkle</v>
      </c>
      <c r="AO51" s="14" t="s">
        <v>561</v>
      </c>
      <c r="AP51" s="12" t="s">
        <v>83</v>
      </c>
      <c r="AQ51" s="14" t="s">
        <v>22</v>
      </c>
      <c r="AR51" s="12" t="s">
        <v>946</v>
      </c>
      <c r="AS51" s="129" t="s">
        <v>1339</v>
      </c>
      <c r="AW51" s="12"/>
      <c r="AX51" s="12"/>
      <c r="AY51" s="12"/>
      <c r="AZ51" s="129"/>
      <c r="BN51" s="154" t="str">
        <f t="shared" si="3"/>
        <v>LT</v>
      </c>
      <c r="BO51" s="12" t="s">
        <v>136</v>
      </c>
      <c r="BP51" s="12" t="s">
        <v>995</v>
      </c>
      <c r="BQ51" s="244" t="str">
        <f t="shared" si="4"/>
        <v>{[8_8T]:[BA03]}</v>
      </c>
      <c r="BR51" s="42" t="str">
        <f t="shared" si="7"/>
        <v>Remo Clear Amb Batter</v>
      </c>
      <c r="CB51" s="116"/>
      <c r="CC51" s="12" t="s">
        <v>55</v>
      </c>
      <c r="CD51" s="12" t="s">
        <v>62</v>
      </c>
      <c r="CE51" s="12" t="s">
        <v>1003</v>
      </c>
      <c r="CF51" s="244" t="s">
        <v>1056</v>
      </c>
      <c r="CG51" s="42" t="s">
        <v>1415</v>
      </c>
    </row>
    <row r="52" spans="7:85" x14ac:dyDescent="0.3">
      <c r="G52" s="12" t="s">
        <v>16</v>
      </c>
      <c r="H52" s="12" t="s">
        <v>284</v>
      </c>
      <c r="I52" s="105" t="s">
        <v>1259</v>
      </c>
      <c r="J52" s="129" t="str">
        <f t="shared" si="10"/>
        <v>Matching Hoop w/Accent</v>
      </c>
      <c r="K52" s="129"/>
      <c r="L52" s="129"/>
      <c r="O52" s="13" t="s">
        <v>317</v>
      </c>
      <c r="P52" s="12" t="s">
        <v>60</v>
      </c>
      <c r="Q52" s="129" t="str">
        <f t="shared" si="9"/>
        <v>Matching Hoop</v>
      </c>
      <c r="T52" s="13"/>
      <c r="U52" s="22"/>
      <c r="X52" s="14"/>
      <c r="Y52" s="13"/>
      <c r="Z52" s="129"/>
      <c r="AD52" s="144"/>
      <c r="AE52" s="13" t="s">
        <v>358</v>
      </c>
      <c r="AF52" s="13" t="s">
        <v>358</v>
      </c>
      <c r="AG52" s="129" t="str">
        <f t="shared" si="8"/>
        <v>Hybrid Copper Sparkle</v>
      </c>
      <c r="AO52" s="14" t="s">
        <v>561</v>
      </c>
      <c r="AP52" s="12" t="s">
        <v>83</v>
      </c>
      <c r="AQ52" s="14" t="s">
        <v>22</v>
      </c>
      <c r="AR52" s="12" t="s">
        <v>950</v>
      </c>
      <c r="AS52" s="129" t="s">
        <v>1341</v>
      </c>
      <c r="AW52" s="63"/>
      <c r="AX52" s="12"/>
      <c r="AY52" s="77"/>
      <c r="AZ52" s="129"/>
      <c r="BN52" s="154" t="str">
        <f t="shared" si="3"/>
        <v>LT</v>
      </c>
      <c r="BO52" s="12" t="s">
        <v>137</v>
      </c>
      <c r="BP52" s="12" t="s">
        <v>995</v>
      </c>
      <c r="BQ52" s="244" t="str">
        <f t="shared" si="4"/>
        <v>{[7_10T]:[BA03]}</v>
      </c>
      <c r="BR52" s="42" t="str">
        <f t="shared" si="7"/>
        <v>Remo Clear Amb Batter</v>
      </c>
      <c r="CB52" s="116"/>
      <c r="CC52" s="12" t="s">
        <v>55</v>
      </c>
      <c r="CD52" s="12" t="s">
        <v>64</v>
      </c>
      <c r="CE52" s="12" t="s">
        <v>1003</v>
      </c>
      <c r="CF52" s="244" t="s">
        <v>1057</v>
      </c>
      <c r="CG52" s="42" t="s">
        <v>1415</v>
      </c>
    </row>
    <row r="53" spans="7:85" x14ac:dyDescent="0.3">
      <c r="G53" s="12" t="s">
        <v>16</v>
      </c>
      <c r="H53" s="12" t="s">
        <v>284</v>
      </c>
      <c r="I53" s="12" t="s">
        <v>309</v>
      </c>
      <c r="J53" s="129" t="str">
        <f t="shared" si="10"/>
        <v>Natural Hoop</v>
      </c>
      <c r="K53" s="129"/>
      <c r="L53" s="129"/>
      <c r="O53" s="13" t="s">
        <v>319</v>
      </c>
      <c r="P53" s="12" t="s">
        <v>60</v>
      </c>
      <c r="Q53" s="129" t="str">
        <f t="shared" si="9"/>
        <v>Matching Hoop</v>
      </c>
      <c r="T53" s="147"/>
      <c r="U53" s="142"/>
      <c r="X53" s="14"/>
      <c r="Y53" s="13"/>
      <c r="Z53" s="129"/>
      <c r="AD53" s="144"/>
      <c r="AE53" s="12" t="s">
        <v>59</v>
      </c>
      <c r="AF53" s="12" t="s">
        <v>59</v>
      </c>
      <c r="AG53" s="129" t="str">
        <f t="shared" si="8"/>
        <v>Lemon Oyster</v>
      </c>
      <c r="AO53" s="14" t="s">
        <v>561</v>
      </c>
      <c r="AP53" s="12" t="s">
        <v>83</v>
      </c>
      <c r="AQ53" s="14" t="s">
        <v>22</v>
      </c>
      <c r="AR53" s="12" t="s">
        <v>954</v>
      </c>
      <c r="AS53" s="129" t="s">
        <v>1343</v>
      </c>
      <c r="AW53" s="63"/>
      <c r="AX53" s="12"/>
      <c r="AY53" s="77"/>
      <c r="AZ53" s="129"/>
      <c r="BN53" s="154" t="str">
        <f t="shared" si="3"/>
        <v>LT</v>
      </c>
      <c r="BO53" s="12" t="s">
        <v>138</v>
      </c>
      <c r="BP53" s="12" t="s">
        <v>995</v>
      </c>
      <c r="BQ53" s="244" t="str">
        <f t="shared" si="4"/>
        <v>{[7H_10T]:[BA03]}</v>
      </c>
      <c r="BR53" s="42" t="str">
        <f t="shared" si="7"/>
        <v>Remo Clear Amb Batter</v>
      </c>
      <c r="CB53" s="116"/>
      <c r="CC53" s="12" t="s">
        <v>55</v>
      </c>
      <c r="CD53" s="12" t="s">
        <v>68</v>
      </c>
      <c r="CE53" s="12" t="s">
        <v>1003</v>
      </c>
      <c r="CF53" s="244" t="s">
        <v>1058</v>
      </c>
      <c r="CG53" s="42" t="s">
        <v>1415</v>
      </c>
    </row>
    <row r="54" spans="7:85" x14ac:dyDescent="0.3">
      <c r="G54" s="12" t="s">
        <v>15</v>
      </c>
      <c r="H54" s="12" t="s">
        <v>279</v>
      </c>
      <c r="I54" s="12" t="s">
        <v>60</v>
      </c>
      <c r="J54" s="129" t="str">
        <f t="shared" si="10"/>
        <v>Matching Hoop</v>
      </c>
      <c r="K54" s="129"/>
      <c r="L54" s="129"/>
      <c r="O54" s="15" t="s">
        <v>321</v>
      </c>
      <c r="P54" s="12" t="s">
        <v>60</v>
      </c>
      <c r="Q54" s="129" t="str">
        <f t="shared" si="9"/>
        <v>Matching Hoop</v>
      </c>
      <c r="T54" s="13"/>
      <c r="U54" s="22"/>
      <c r="X54" s="14"/>
      <c r="Y54" s="13"/>
      <c r="Z54" s="129"/>
      <c r="AD54" s="144"/>
      <c r="AE54" s="13" t="s">
        <v>932</v>
      </c>
      <c r="AF54" s="13" t="s">
        <v>932</v>
      </c>
      <c r="AG54" s="129" t="str">
        <f t="shared" si="8"/>
        <v>Merlot Super Sparkle</v>
      </c>
      <c r="AO54" s="14" t="s">
        <v>561</v>
      </c>
      <c r="AP54" s="12" t="s">
        <v>95</v>
      </c>
      <c r="AQ54" s="14" t="s">
        <v>518</v>
      </c>
      <c r="AR54" s="12" t="s">
        <v>952</v>
      </c>
      <c r="AS54" s="129" t="s">
        <v>1342</v>
      </c>
      <c r="AW54" s="12"/>
      <c r="AX54" s="12"/>
      <c r="AY54" s="12"/>
      <c r="AZ54" s="129"/>
      <c r="BN54" s="154" t="str">
        <f t="shared" si="3"/>
        <v>LT</v>
      </c>
      <c r="BO54" s="12" t="s">
        <v>139</v>
      </c>
      <c r="BP54" s="12" t="s">
        <v>995</v>
      </c>
      <c r="BQ54" s="244" t="str">
        <f t="shared" si="4"/>
        <v>{[8_10T]:[BA03]}</v>
      </c>
      <c r="BR54" s="42" t="str">
        <f t="shared" si="7"/>
        <v>Remo Clear Amb Batter</v>
      </c>
      <c r="CB54" s="116"/>
      <c r="CC54" s="12" t="s">
        <v>55</v>
      </c>
      <c r="CD54" s="12" t="s">
        <v>67</v>
      </c>
      <c r="CE54" s="12" t="s">
        <v>1003</v>
      </c>
      <c r="CF54" s="244" t="s">
        <v>1059</v>
      </c>
      <c r="CG54" s="42" t="s">
        <v>1415</v>
      </c>
    </row>
    <row r="55" spans="7:85" x14ac:dyDescent="0.3">
      <c r="G55" s="12" t="s">
        <v>15</v>
      </c>
      <c r="H55" s="12" t="s">
        <v>272</v>
      </c>
      <c r="I55" s="12" t="s">
        <v>60</v>
      </c>
      <c r="J55" s="129" t="str">
        <f t="shared" si="10"/>
        <v>Matching Hoop</v>
      </c>
      <c r="K55" s="129"/>
      <c r="L55" s="129"/>
      <c r="O55" s="13" t="s">
        <v>371</v>
      </c>
      <c r="P55" s="12" t="s">
        <v>902</v>
      </c>
      <c r="Q55" s="129" t="str">
        <f t="shared" si="9"/>
        <v>Satin Sable w/Inlay</v>
      </c>
      <c r="T55" s="13"/>
      <c r="U55" s="22"/>
      <c r="X55" s="14"/>
      <c r="Y55" s="13"/>
      <c r="Z55" s="129"/>
      <c r="AD55" s="144"/>
      <c r="AE55" s="13" t="s">
        <v>361</v>
      </c>
      <c r="AF55" s="13" t="s">
        <v>361</v>
      </c>
      <c r="AG55" s="129" t="str">
        <f t="shared" si="8"/>
        <v>Mod Orange</v>
      </c>
      <c r="AO55" s="14" t="s">
        <v>561</v>
      </c>
      <c r="AP55" s="12" t="s">
        <v>95</v>
      </c>
      <c r="AQ55" s="14" t="s">
        <v>518</v>
      </c>
      <c r="AR55" s="12" t="s">
        <v>948</v>
      </c>
      <c r="AS55" s="129" t="s">
        <v>1340</v>
      </c>
      <c r="AW55" s="12"/>
      <c r="AX55" s="12"/>
      <c r="AY55" s="12"/>
      <c r="AZ55" s="129"/>
      <c r="BN55" s="154" t="str">
        <f t="shared" si="3"/>
        <v>LT</v>
      </c>
      <c r="BO55" s="12" t="s">
        <v>140</v>
      </c>
      <c r="BP55" s="12" t="s">
        <v>995</v>
      </c>
      <c r="BQ55" s="244" t="str">
        <f t="shared" si="4"/>
        <v>{[9_10T]:[BA03]}</v>
      </c>
      <c r="BR55" s="42" t="str">
        <f t="shared" si="7"/>
        <v>Remo Clear Amb Batter</v>
      </c>
      <c r="CB55" s="116"/>
      <c r="CC55" s="12" t="s">
        <v>55</v>
      </c>
      <c r="CD55" s="12" t="s">
        <v>71</v>
      </c>
      <c r="CE55" s="12" t="s">
        <v>1003</v>
      </c>
      <c r="CF55" s="244" t="s">
        <v>1060</v>
      </c>
      <c r="CG55" s="42" t="s">
        <v>1415</v>
      </c>
    </row>
    <row r="56" spans="7:85" x14ac:dyDescent="0.3">
      <c r="G56" s="12" t="s">
        <v>15</v>
      </c>
      <c r="H56" s="12" t="s">
        <v>279</v>
      </c>
      <c r="I56" s="105" t="s">
        <v>1259</v>
      </c>
      <c r="J56" s="129" t="str">
        <f t="shared" si="10"/>
        <v>Matching Hoop w/Accent</v>
      </c>
      <c r="K56" s="129"/>
      <c r="L56" s="129"/>
      <c r="O56" s="13" t="s">
        <v>373</v>
      </c>
      <c r="P56" s="12" t="s">
        <v>902</v>
      </c>
      <c r="Q56" s="129" t="str">
        <f t="shared" si="9"/>
        <v>Satin Sable w/Inlay</v>
      </c>
      <c r="T56" s="13"/>
      <c r="U56" s="22"/>
      <c r="X56" s="14"/>
      <c r="Y56" s="13"/>
      <c r="Z56" s="129"/>
      <c r="AD56" s="144"/>
      <c r="AE56" s="13" t="s">
        <v>363</v>
      </c>
      <c r="AF56" s="13" t="s">
        <v>363</v>
      </c>
      <c r="AG56" s="129" t="str">
        <f t="shared" si="8"/>
        <v>Olive Oyster</v>
      </c>
      <c r="AO56" s="14" t="s">
        <v>561</v>
      </c>
      <c r="AP56" s="12" t="s">
        <v>95</v>
      </c>
      <c r="AQ56" s="14" t="s">
        <v>518</v>
      </c>
      <c r="AR56" s="12" t="s">
        <v>946</v>
      </c>
      <c r="AS56" s="129" t="s">
        <v>1339</v>
      </c>
      <c r="AW56" s="12"/>
      <c r="AX56" s="12"/>
      <c r="AY56" s="12"/>
      <c r="AZ56" s="129"/>
      <c r="BN56" s="154" t="str">
        <f t="shared" si="3"/>
        <v>LT</v>
      </c>
      <c r="BO56" s="12" t="s">
        <v>144</v>
      </c>
      <c r="BP56" s="12" t="s">
        <v>995</v>
      </c>
      <c r="BQ56" s="244" t="str">
        <f t="shared" si="4"/>
        <v>{[10_12T]:[BA03]}</v>
      </c>
      <c r="BR56" s="42" t="str">
        <f t="shared" si="7"/>
        <v>Remo Clear Amb Batter</v>
      </c>
      <c r="CB56" s="116"/>
      <c r="CC56" s="12" t="s">
        <v>55</v>
      </c>
      <c r="CD56" s="12" t="s">
        <v>74</v>
      </c>
      <c r="CE56" s="12" t="s">
        <v>1003</v>
      </c>
      <c r="CF56" s="244" t="s">
        <v>1061</v>
      </c>
      <c r="CG56" s="42" t="s">
        <v>1415</v>
      </c>
    </row>
    <row r="57" spans="7:85" x14ac:dyDescent="0.3">
      <c r="G57" s="12" t="s">
        <v>15</v>
      </c>
      <c r="H57" s="12" t="s">
        <v>272</v>
      </c>
      <c r="I57" s="105" t="s">
        <v>1259</v>
      </c>
      <c r="J57" s="129" t="str">
        <f t="shared" si="10"/>
        <v>Matching Hoop w/Accent</v>
      </c>
      <c r="K57" s="129"/>
      <c r="L57" s="129"/>
      <c r="O57" s="13" t="s">
        <v>375</v>
      </c>
      <c r="P57" s="12" t="s">
        <v>902</v>
      </c>
      <c r="Q57" s="129" t="str">
        <f t="shared" si="9"/>
        <v>Satin Sable w/Inlay</v>
      </c>
      <c r="T57" s="13"/>
      <c r="U57" s="22"/>
      <c r="X57" s="14"/>
      <c r="Y57" s="13"/>
      <c r="Z57" s="129"/>
      <c r="AD57" s="144"/>
      <c r="AE57" s="13" t="s">
        <v>367</v>
      </c>
      <c r="AF57" s="13" t="s">
        <v>367</v>
      </c>
      <c r="AG57" s="129" t="str">
        <f t="shared" si="8"/>
        <v>Red Sparkle</v>
      </c>
      <c r="AO57" s="14" t="s">
        <v>561</v>
      </c>
      <c r="AP57" s="12" t="s">
        <v>95</v>
      </c>
      <c r="AQ57" s="14" t="s">
        <v>518</v>
      </c>
      <c r="AR57" s="12" t="s">
        <v>950</v>
      </c>
      <c r="AS57" s="129" t="s">
        <v>1341</v>
      </c>
      <c r="AW57" s="16"/>
      <c r="AX57" s="12"/>
      <c r="AY57" s="77"/>
      <c r="AZ57" s="129"/>
      <c r="BN57" s="154" t="str">
        <f t="shared" si="3"/>
        <v>LT</v>
      </c>
      <c r="BO57" s="12" t="s">
        <v>146</v>
      </c>
      <c r="BP57" s="12" t="s">
        <v>995</v>
      </c>
      <c r="BQ57" s="244" t="str">
        <f t="shared" si="4"/>
        <v>{[11_12T]:[BA03]}</v>
      </c>
      <c r="BR57" s="42" t="str">
        <f t="shared" si="7"/>
        <v>Remo Clear Amb Batter</v>
      </c>
      <c r="CB57" s="116"/>
      <c r="CC57" s="12" t="s">
        <v>55</v>
      </c>
      <c r="CD57" s="12" t="s">
        <v>77</v>
      </c>
      <c r="CE57" s="12" t="s">
        <v>1003</v>
      </c>
      <c r="CF57" s="244" t="s">
        <v>1062</v>
      </c>
      <c r="CG57" s="42" t="s">
        <v>1415</v>
      </c>
    </row>
    <row r="58" spans="7:85" x14ac:dyDescent="0.3">
      <c r="G58" s="12" t="s">
        <v>15</v>
      </c>
      <c r="H58" s="12" t="s">
        <v>279</v>
      </c>
      <c r="I58" s="12" t="s">
        <v>309</v>
      </c>
      <c r="J58" s="129" t="str">
        <f t="shared" si="10"/>
        <v>Natural Hoop</v>
      </c>
      <c r="K58" s="129"/>
      <c r="L58" s="129"/>
      <c r="O58" s="13" t="s">
        <v>322</v>
      </c>
      <c r="P58" s="12" t="s">
        <v>60</v>
      </c>
      <c r="Q58" s="129" t="str">
        <f t="shared" si="9"/>
        <v>Matching Hoop</v>
      </c>
      <c r="T58" s="13"/>
      <c r="U58" s="22"/>
      <c r="X58" s="14"/>
      <c r="Y58" s="13"/>
      <c r="Z58" s="129"/>
      <c r="AD58" s="144"/>
      <c r="AE58" s="13" t="s">
        <v>369</v>
      </c>
      <c r="AF58" s="13" t="s">
        <v>369</v>
      </c>
      <c r="AG58" s="129" t="str">
        <f t="shared" si="8"/>
        <v>Red Swirl</v>
      </c>
      <c r="AO58" s="14" t="s">
        <v>561</v>
      </c>
      <c r="AP58" s="12" t="s">
        <v>95</v>
      </c>
      <c r="AQ58" s="14" t="s">
        <v>518</v>
      </c>
      <c r="AR58" s="12" t="s">
        <v>954</v>
      </c>
      <c r="AS58" s="129" t="s">
        <v>1343</v>
      </c>
      <c r="AW58" s="16"/>
      <c r="AX58" s="12"/>
      <c r="AY58" s="77"/>
      <c r="AZ58" s="129"/>
      <c r="BN58" s="154" t="str">
        <f t="shared" si="3"/>
        <v>LT</v>
      </c>
      <c r="BO58" s="12" t="s">
        <v>141</v>
      </c>
      <c r="BP58" s="12" t="s">
        <v>995</v>
      </c>
      <c r="BQ58" s="244" t="str">
        <f t="shared" si="4"/>
        <v>{[8_12T]:[BA03]}</v>
      </c>
      <c r="BR58" s="42" t="str">
        <f t="shared" si="7"/>
        <v>Remo Clear Amb Batter</v>
      </c>
      <c r="CB58" s="116"/>
      <c r="CC58" s="12" t="s">
        <v>55</v>
      </c>
      <c r="CD58" s="12" t="s">
        <v>81</v>
      </c>
      <c r="CE58" s="12" t="s">
        <v>1003</v>
      </c>
      <c r="CF58" s="244" t="s">
        <v>1063</v>
      </c>
      <c r="CG58" s="42" t="s">
        <v>1415</v>
      </c>
    </row>
    <row r="59" spans="7:85" x14ac:dyDescent="0.3">
      <c r="G59" s="12" t="s">
        <v>15</v>
      </c>
      <c r="H59" s="12" t="s">
        <v>272</v>
      </c>
      <c r="I59" s="12" t="s">
        <v>309</v>
      </c>
      <c r="J59" s="129" t="str">
        <f t="shared" si="10"/>
        <v>Natural Hoop</v>
      </c>
      <c r="K59" s="129"/>
      <c r="L59" s="129"/>
      <c r="O59" s="13" t="s">
        <v>1352</v>
      </c>
      <c r="P59" s="12" t="s">
        <v>902</v>
      </c>
      <c r="Q59" s="129" t="str">
        <f t="shared" si="9"/>
        <v>Satin Sable w/Inlay</v>
      </c>
      <c r="T59" s="13"/>
      <c r="U59" s="22"/>
      <c r="X59" s="14"/>
      <c r="Y59" s="13"/>
      <c r="Z59" s="129"/>
      <c r="AD59" s="144"/>
      <c r="AE59" s="15" t="s">
        <v>371</v>
      </c>
      <c r="AF59" s="15" t="s">
        <v>371</v>
      </c>
      <c r="AG59" s="129" t="str">
        <f t="shared" si="8"/>
        <v>Silver Silk</v>
      </c>
      <c r="AO59" s="14" t="s">
        <v>561</v>
      </c>
      <c r="AP59" s="12" t="s">
        <v>95</v>
      </c>
      <c r="AQ59" s="14" t="s">
        <v>16</v>
      </c>
      <c r="AR59" s="12" t="s">
        <v>948</v>
      </c>
      <c r="AS59" s="129" t="s">
        <v>1340</v>
      </c>
      <c r="AW59" s="12"/>
      <c r="AX59" s="12"/>
      <c r="AY59" s="12"/>
      <c r="AZ59" s="129"/>
      <c r="BN59" s="154" t="str">
        <f t="shared" si="3"/>
        <v>LT</v>
      </c>
      <c r="BO59" s="12" t="s">
        <v>143</v>
      </c>
      <c r="BP59" s="12" t="s">
        <v>995</v>
      </c>
      <c r="BQ59" s="244" t="str">
        <f t="shared" si="4"/>
        <v>{[9_12T]:[BA03]}</v>
      </c>
      <c r="BR59" s="42" t="str">
        <f t="shared" si="7"/>
        <v>Remo Clear Amb Batter</v>
      </c>
      <c r="CB59" s="116"/>
      <c r="CC59" s="12" t="s">
        <v>55</v>
      </c>
      <c r="CD59" s="12" t="s">
        <v>83</v>
      </c>
      <c r="CE59" s="12" t="s">
        <v>1003</v>
      </c>
      <c r="CF59" s="244" t="s">
        <v>1064</v>
      </c>
      <c r="CG59" s="42" t="s">
        <v>1415</v>
      </c>
    </row>
    <row r="60" spans="7:85" x14ac:dyDescent="0.3">
      <c r="G60" s="12" t="s">
        <v>18</v>
      </c>
      <c r="H60" s="12" t="s">
        <v>279</v>
      </c>
      <c r="I60" s="12" t="s">
        <v>60</v>
      </c>
      <c r="J60" s="129" t="str">
        <f t="shared" si="10"/>
        <v>Matching Hoop</v>
      </c>
      <c r="K60" s="129"/>
      <c r="L60" s="129"/>
      <c r="O60" s="13" t="s">
        <v>377</v>
      </c>
      <c r="P60" s="12" t="s">
        <v>902</v>
      </c>
      <c r="Q60" s="129" t="str">
        <f t="shared" si="9"/>
        <v>Satin Sable w/Inlay</v>
      </c>
      <c r="T60" s="13"/>
      <c r="U60" s="22"/>
      <c r="X60" s="14"/>
      <c r="Y60" s="13"/>
      <c r="Z60" s="129"/>
      <c r="AD60" s="144"/>
      <c r="AE60" s="13" t="s">
        <v>373</v>
      </c>
      <c r="AF60" s="13" t="s">
        <v>373</v>
      </c>
      <c r="AG60" s="129" t="str">
        <f t="shared" si="8"/>
        <v>Silver Sparkle</v>
      </c>
      <c r="AO60" s="14" t="s">
        <v>561</v>
      </c>
      <c r="AP60" s="12" t="s">
        <v>95</v>
      </c>
      <c r="AQ60" s="14" t="s">
        <v>16</v>
      </c>
      <c r="AR60" s="12" t="s">
        <v>946</v>
      </c>
      <c r="AS60" s="129" t="s">
        <v>1339</v>
      </c>
      <c r="AW60" s="12"/>
      <c r="AX60" s="12"/>
      <c r="AY60" s="12"/>
      <c r="AZ60" s="129"/>
      <c r="BN60" s="154" t="str">
        <f t="shared" si="3"/>
        <v>LT</v>
      </c>
      <c r="BO60" s="12" t="s">
        <v>148</v>
      </c>
      <c r="BP60" s="12" t="s">
        <v>995</v>
      </c>
      <c r="BQ60" s="244" t="str">
        <f t="shared" si="4"/>
        <v>{[10_13T]:[BA03]}</v>
      </c>
      <c r="BR60" s="42" t="str">
        <f t="shared" si="7"/>
        <v>Remo Clear Amb Batter</v>
      </c>
      <c r="CB60" s="116"/>
      <c r="CC60" s="12" t="s">
        <v>55</v>
      </c>
      <c r="CD60" s="12" t="s">
        <v>85</v>
      </c>
      <c r="CE60" s="12" t="s">
        <v>1003</v>
      </c>
      <c r="CF60" s="244" t="s">
        <v>1065</v>
      </c>
      <c r="CG60" s="42" t="s">
        <v>1415</v>
      </c>
    </row>
    <row r="61" spans="7:85" x14ac:dyDescent="0.3">
      <c r="G61" s="12" t="s">
        <v>18</v>
      </c>
      <c r="H61" s="12" t="s">
        <v>272</v>
      </c>
      <c r="I61" s="12" t="s">
        <v>60</v>
      </c>
      <c r="J61" s="129" t="str">
        <f t="shared" si="10"/>
        <v>Matching Hoop</v>
      </c>
      <c r="K61" s="129"/>
      <c r="L61" s="129"/>
      <c r="O61" s="13" t="s">
        <v>324</v>
      </c>
      <c r="P61" s="12" t="s">
        <v>60</v>
      </c>
      <c r="Q61" s="129" t="str">
        <f t="shared" si="9"/>
        <v>Matching Hoop</v>
      </c>
      <c r="T61" s="13"/>
      <c r="U61" s="22"/>
      <c r="X61" s="14"/>
      <c r="Y61" s="15"/>
      <c r="Z61" s="129"/>
      <c r="AD61" s="144"/>
      <c r="AE61" s="13" t="s">
        <v>375</v>
      </c>
      <c r="AF61" s="13" t="s">
        <v>375</v>
      </c>
      <c r="AG61" s="129" t="str">
        <f t="shared" si="8"/>
        <v>Sky Blue Pearl</v>
      </c>
      <c r="AO61" s="14" t="s">
        <v>561</v>
      </c>
      <c r="AP61" s="12" t="s">
        <v>95</v>
      </c>
      <c r="AQ61" s="14" t="s">
        <v>16</v>
      </c>
      <c r="AR61" s="12" t="s">
        <v>950</v>
      </c>
      <c r="AS61" s="129" t="s">
        <v>1341</v>
      </c>
      <c r="AW61" s="12"/>
      <c r="AX61" s="12"/>
      <c r="AY61" s="12"/>
      <c r="AZ61" s="129"/>
      <c r="BN61" s="154" t="str">
        <f t="shared" si="3"/>
        <v>LT</v>
      </c>
      <c r="BO61" s="12" t="s">
        <v>149</v>
      </c>
      <c r="BP61" s="12" t="s">
        <v>995</v>
      </c>
      <c r="BQ61" s="244" t="str">
        <f t="shared" si="4"/>
        <v>{[11_13T]:[BA03]}</v>
      </c>
      <c r="BR61" s="42" t="str">
        <f t="shared" si="7"/>
        <v>Remo Clear Amb Batter</v>
      </c>
      <c r="CB61" s="116"/>
      <c r="CC61" s="12" t="s">
        <v>55</v>
      </c>
      <c r="CD61" s="12" t="s">
        <v>88</v>
      </c>
      <c r="CE61" s="12" t="s">
        <v>1003</v>
      </c>
      <c r="CF61" s="244" t="s">
        <v>1066</v>
      </c>
      <c r="CG61" s="42" t="s">
        <v>1415</v>
      </c>
    </row>
    <row r="62" spans="7:85" x14ac:dyDescent="0.3">
      <c r="G62" s="12" t="s">
        <v>18</v>
      </c>
      <c r="H62" s="12" t="s">
        <v>279</v>
      </c>
      <c r="I62" s="105" t="s">
        <v>1259</v>
      </c>
      <c r="J62" s="129" t="str">
        <f t="shared" si="10"/>
        <v>Matching Hoop w/Accent</v>
      </c>
      <c r="K62" s="129"/>
      <c r="L62" s="129"/>
      <c r="O62" s="13" t="s">
        <v>282</v>
      </c>
      <c r="P62" s="12" t="s">
        <v>902</v>
      </c>
      <c r="Q62" s="129" t="str">
        <f t="shared" si="9"/>
        <v>Satin Sable w/Inlay</v>
      </c>
      <c r="T62" s="13"/>
      <c r="U62" s="22"/>
      <c r="X62" s="14"/>
      <c r="Y62" s="13"/>
      <c r="Z62" s="129"/>
      <c r="AD62" s="144"/>
      <c r="AE62" s="13" t="s">
        <v>1352</v>
      </c>
      <c r="AF62" s="13" t="s">
        <v>1352</v>
      </c>
      <c r="AG62" s="129" t="str">
        <f t="shared" si="8"/>
        <v>Steel Blue Pearl</v>
      </c>
      <c r="AO62" s="14" t="s">
        <v>561</v>
      </c>
      <c r="AP62" s="12" t="s">
        <v>95</v>
      </c>
      <c r="AQ62" s="14" t="s">
        <v>16</v>
      </c>
      <c r="AR62" s="12" t="s">
        <v>954</v>
      </c>
      <c r="AS62" s="129" t="s">
        <v>1343</v>
      </c>
      <c r="AW62" s="16"/>
      <c r="AX62" s="12"/>
      <c r="AY62" s="77"/>
      <c r="AZ62" s="129"/>
      <c r="BN62" s="154" t="str">
        <f t="shared" si="3"/>
        <v>LT</v>
      </c>
      <c r="BO62" s="12" t="s">
        <v>150</v>
      </c>
      <c r="BP62" s="12" t="s">
        <v>995</v>
      </c>
      <c r="BQ62" s="244" t="str">
        <f t="shared" si="4"/>
        <v>{[12_13T]:[BA03]}</v>
      </c>
      <c r="BR62" s="42" t="str">
        <f t="shared" si="7"/>
        <v>Remo Clear Amb Batter</v>
      </c>
      <c r="CB62" s="116"/>
      <c r="CC62" s="12" t="s">
        <v>55</v>
      </c>
      <c r="CD62" s="12" t="s">
        <v>90</v>
      </c>
      <c r="CE62" s="12" t="s">
        <v>1003</v>
      </c>
      <c r="CF62" s="244" t="s">
        <v>1067</v>
      </c>
      <c r="CG62" s="42" t="s">
        <v>1415</v>
      </c>
    </row>
    <row r="63" spans="7:85" x14ac:dyDescent="0.3">
      <c r="G63" s="12" t="s">
        <v>18</v>
      </c>
      <c r="H63" s="12" t="s">
        <v>272</v>
      </c>
      <c r="I63" s="105" t="s">
        <v>1259</v>
      </c>
      <c r="J63" s="129" t="str">
        <f t="shared" si="10"/>
        <v>Matching Hoop w/Accent</v>
      </c>
      <c r="K63" s="129"/>
      <c r="L63" s="129"/>
      <c r="O63" s="13" t="s">
        <v>378</v>
      </c>
      <c r="P63" s="12" t="s">
        <v>902</v>
      </c>
      <c r="Q63" s="129" t="str">
        <f t="shared" si="9"/>
        <v>Satin Sable w/Inlay</v>
      </c>
      <c r="T63" s="13"/>
      <c r="U63" s="22"/>
      <c r="X63" s="14"/>
      <c r="Y63" s="13"/>
      <c r="Z63" s="129"/>
      <c r="AD63" s="144"/>
      <c r="AE63" s="13" t="s">
        <v>282</v>
      </c>
      <c r="AF63" s="13" t="s">
        <v>282</v>
      </c>
      <c r="AG63" s="129" t="str">
        <f t="shared" si="8"/>
        <v>Titanium Super Sparkle</v>
      </c>
      <c r="AO63" s="14" t="s">
        <v>561</v>
      </c>
      <c r="AP63" s="12" t="s">
        <v>95</v>
      </c>
      <c r="AQ63" s="14" t="s">
        <v>22</v>
      </c>
      <c r="AR63" s="12" t="s">
        <v>952</v>
      </c>
      <c r="AS63" s="129" t="s">
        <v>1342</v>
      </c>
      <c r="AW63" s="16"/>
      <c r="AX63" s="12"/>
      <c r="AY63" s="77"/>
      <c r="AZ63" s="129"/>
      <c r="BN63" s="154" t="str">
        <f t="shared" si="3"/>
        <v>LT</v>
      </c>
      <c r="BO63" s="12" t="s">
        <v>147</v>
      </c>
      <c r="BP63" s="12" t="s">
        <v>995</v>
      </c>
      <c r="BQ63" s="244" t="str">
        <f t="shared" si="4"/>
        <v>{[9_13T]:[BA03]}</v>
      </c>
      <c r="BR63" s="42" t="str">
        <f t="shared" si="7"/>
        <v>Remo Clear Amb Batter</v>
      </c>
      <c r="CB63" s="116"/>
      <c r="CC63" s="12" t="s">
        <v>55</v>
      </c>
      <c r="CD63" s="12" t="s">
        <v>93</v>
      </c>
      <c r="CE63" s="12" t="s">
        <v>1003</v>
      </c>
      <c r="CF63" s="244" t="s">
        <v>1068</v>
      </c>
      <c r="CG63" s="42" t="s">
        <v>1415</v>
      </c>
    </row>
    <row r="64" spans="7:85" x14ac:dyDescent="0.3">
      <c r="G64" s="12" t="s">
        <v>18</v>
      </c>
      <c r="H64" s="12" t="s">
        <v>279</v>
      </c>
      <c r="I64" s="12" t="s">
        <v>309</v>
      </c>
      <c r="J64" s="129" t="str">
        <f t="shared" si="10"/>
        <v>Natural Hoop</v>
      </c>
      <c r="K64" s="129"/>
      <c r="L64" s="129"/>
      <c r="O64" s="13" t="s">
        <v>380</v>
      </c>
      <c r="P64" s="12" t="s">
        <v>902</v>
      </c>
      <c r="Q64" s="129" t="str">
        <f t="shared" si="9"/>
        <v>Satin Sable w/Inlay</v>
      </c>
      <c r="T64" s="13"/>
      <c r="U64" s="22"/>
      <c r="X64" s="14"/>
      <c r="Y64" s="13"/>
      <c r="Z64" s="22"/>
      <c r="AD64" s="144"/>
      <c r="AE64" s="13" t="s">
        <v>378</v>
      </c>
      <c r="AF64" s="13" t="s">
        <v>378</v>
      </c>
      <c r="AG64" s="129" t="str">
        <f t="shared" si="8"/>
        <v>Vintage Black Oyster</v>
      </c>
      <c r="AO64" s="14" t="s">
        <v>561</v>
      </c>
      <c r="AP64" s="12" t="s">
        <v>95</v>
      </c>
      <c r="AQ64" s="14" t="s">
        <v>22</v>
      </c>
      <c r="AR64" s="12" t="s">
        <v>948</v>
      </c>
      <c r="AS64" s="129" t="s">
        <v>1340</v>
      </c>
      <c r="AW64" s="12"/>
      <c r="AX64" s="12"/>
      <c r="AY64" s="12"/>
      <c r="AZ64" s="129"/>
      <c r="BN64" s="154" t="str">
        <f t="shared" si="3"/>
        <v>LT</v>
      </c>
      <c r="BO64" s="12" t="s">
        <v>157</v>
      </c>
      <c r="BP64" s="12" t="s">
        <v>995</v>
      </c>
      <c r="BQ64" s="244" t="str">
        <f t="shared" si="4"/>
        <v>{[10_14T]:[BA03]}</v>
      </c>
      <c r="BR64" s="42" t="str">
        <f t="shared" si="7"/>
        <v>Remo Clear Amb Batter</v>
      </c>
      <c r="CB64" s="116"/>
      <c r="CC64" s="12" t="s">
        <v>55</v>
      </c>
      <c r="CD64" s="12" t="s">
        <v>95</v>
      </c>
      <c r="CE64" s="12" t="s">
        <v>1003</v>
      </c>
      <c r="CF64" s="244" t="s">
        <v>1069</v>
      </c>
      <c r="CG64" s="42" t="s">
        <v>1415</v>
      </c>
    </row>
    <row r="65" spans="7:85" x14ac:dyDescent="0.3">
      <c r="G65" s="12" t="s">
        <v>18</v>
      </c>
      <c r="H65" s="12" t="s">
        <v>272</v>
      </c>
      <c r="I65" s="12" t="s">
        <v>309</v>
      </c>
      <c r="J65" s="129" t="str">
        <f t="shared" si="10"/>
        <v>Natural Hoop</v>
      </c>
      <c r="K65" s="129"/>
      <c r="L65" s="129"/>
      <c r="O65" s="13" t="s">
        <v>326</v>
      </c>
      <c r="P65" s="12" t="s">
        <v>60</v>
      </c>
      <c r="Q65" s="129" t="str">
        <f t="shared" si="9"/>
        <v>Matching Hoop</v>
      </c>
      <c r="T65" s="13"/>
      <c r="U65" s="22"/>
      <c r="X65" s="14"/>
      <c r="Y65" s="13"/>
      <c r="Z65" s="129"/>
      <c r="AD65" s="144"/>
      <c r="AE65" s="13" t="s">
        <v>380</v>
      </c>
      <c r="AF65" s="13" t="s">
        <v>380</v>
      </c>
      <c r="AG65" s="129" t="str">
        <f t="shared" si="8"/>
        <v>Vintage Blue Oyster</v>
      </c>
      <c r="AO65" s="14" t="s">
        <v>561</v>
      </c>
      <c r="AP65" s="12" t="s">
        <v>95</v>
      </c>
      <c r="AQ65" s="14" t="s">
        <v>22</v>
      </c>
      <c r="AR65" s="12" t="s">
        <v>946</v>
      </c>
      <c r="AS65" s="129" t="s">
        <v>1339</v>
      </c>
      <c r="AW65" s="12"/>
      <c r="AX65" s="12"/>
      <c r="AY65" s="12"/>
      <c r="AZ65" s="129"/>
      <c r="BN65" s="154" t="str">
        <f t="shared" si="3"/>
        <v>LT</v>
      </c>
      <c r="BO65" s="12" t="s">
        <v>163</v>
      </c>
      <c r="BP65" s="12" t="s">
        <v>995</v>
      </c>
      <c r="BQ65" s="244" t="str">
        <f t="shared" si="4"/>
        <v>{[11_14T]:[BA03]}</v>
      </c>
      <c r="BR65" s="42" t="str">
        <f t="shared" si="7"/>
        <v>Remo Clear Amb Batter</v>
      </c>
      <c r="CB65" s="116"/>
      <c r="CC65" s="12" t="s">
        <v>55</v>
      </c>
      <c r="CD65" s="12" t="s">
        <v>100</v>
      </c>
      <c r="CE65" s="12" t="s">
        <v>1003</v>
      </c>
      <c r="CF65" s="244" t="s">
        <v>1070</v>
      </c>
      <c r="CG65" s="42" t="s">
        <v>1415</v>
      </c>
    </row>
    <row r="66" spans="7:85" x14ac:dyDescent="0.3">
      <c r="G66" s="12" t="s">
        <v>17</v>
      </c>
      <c r="H66" s="12" t="s">
        <v>287</v>
      </c>
      <c r="I66" s="12" t="s">
        <v>26</v>
      </c>
      <c r="J66" s="129" t="str">
        <f t="shared" si="10"/>
        <v>Satin Sable</v>
      </c>
      <c r="K66" s="129"/>
      <c r="L66" s="129"/>
      <c r="O66" s="13" t="s">
        <v>60</v>
      </c>
      <c r="P66" s="12" t="s">
        <v>912</v>
      </c>
      <c r="Q66" s="129" t="str">
        <f t="shared" si="9"/>
        <v>Satin Natural w/Accent</v>
      </c>
      <c r="T66" s="13"/>
      <c r="U66" s="91"/>
      <c r="X66" s="14"/>
      <c r="Y66" s="13"/>
      <c r="Z66" s="129"/>
      <c r="AD66" s="144"/>
      <c r="AE66" s="12" t="s">
        <v>365</v>
      </c>
      <c r="AF66" s="12" t="s">
        <v>365</v>
      </c>
      <c r="AG66" s="129" t="str">
        <f t="shared" si="8"/>
        <v>Vintage Pink Oyster</v>
      </c>
      <c r="AO66" s="14" t="s">
        <v>561</v>
      </c>
      <c r="AP66" s="12" t="s">
        <v>95</v>
      </c>
      <c r="AQ66" s="14" t="s">
        <v>22</v>
      </c>
      <c r="AR66" s="12" t="s">
        <v>950</v>
      </c>
      <c r="AS66" s="129" t="s">
        <v>1341</v>
      </c>
      <c r="AW66" s="12"/>
      <c r="AX66" s="12"/>
      <c r="AY66" s="12"/>
      <c r="AZ66" s="129"/>
      <c r="BN66" s="154" t="str">
        <f t="shared" si="3"/>
        <v>LF</v>
      </c>
      <c r="BO66" s="12" t="s">
        <v>110</v>
      </c>
      <c r="BP66" s="12" t="s">
        <v>995</v>
      </c>
      <c r="BQ66" s="244" t="str">
        <f t="shared" si="4"/>
        <v>{[12_14F]:[BA03]}</v>
      </c>
      <c r="BR66" s="42" t="str">
        <f t="shared" si="7"/>
        <v>Remo Clear Amb Batter</v>
      </c>
      <c r="CB66" s="116"/>
      <c r="CC66" s="12" t="s">
        <v>55</v>
      </c>
      <c r="CD66" s="12" t="s">
        <v>104</v>
      </c>
      <c r="CE66" s="12" t="s">
        <v>1003</v>
      </c>
      <c r="CF66" s="244" t="s">
        <v>1071</v>
      </c>
      <c r="CG66" s="42" t="s">
        <v>1415</v>
      </c>
    </row>
    <row r="67" spans="7:85" x14ac:dyDescent="0.3">
      <c r="G67" s="12" t="s">
        <v>17</v>
      </c>
      <c r="H67" s="12" t="s">
        <v>287</v>
      </c>
      <c r="I67" s="12" t="s">
        <v>914</v>
      </c>
      <c r="J67" s="129" t="str">
        <f t="shared" si="10"/>
        <v>Satin Sable w/Accent</v>
      </c>
      <c r="K67" s="129"/>
      <c r="L67" s="129"/>
      <c r="O67" s="13" t="s">
        <v>365</v>
      </c>
      <c r="P67" s="12" t="s">
        <v>902</v>
      </c>
      <c r="Q67" s="129" t="str">
        <f t="shared" si="9"/>
        <v>Satin Sable w/Inlay</v>
      </c>
      <c r="T67" s="13"/>
      <c r="U67" s="91"/>
      <c r="X67" s="14"/>
      <c r="Y67" s="15"/>
      <c r="Z67" s="129"/>
      <c r="AD67" s="144"/>
      <c r="AE67" s="15" t="s">
        <v>382</v>
      </c>
      <c r="AF67" s="15" t="s">
        <v>382</v>
      </c>
      <c r="AG67" s="129" t="str">
        <f t="shared" si="8"/>
        <v>Vintage White Marine</v>
      </c>
      <c r="AO67" s="14" t="s">
        <v>561</v>
      </c>
      <c r="AP67" s="12" t="s">
        <v>95</v>
      </c>
      <c r="AQ67" s="14" t="s">
        <v>22</v>
      </c>
      <c r="AR67" s="12" t="s">
        <v>954</v>
      </c>
      <c r="AS67" s="129" t="s">
        <v>1343</v>
      </c>
      <c r="AW67" s="16"/>
      <c r="AX67" s="12"/>
      <c r="AY67" s="77"/>
      <c r="AZ67" s="129"/>
      <c r="BN67" s="154" t="str">
        <f t="shared" si="3"/>
        <v>LT</v>
      </c>
      <c r="BO67" s="12" t="s">
        <v>169</v>
      </c>
      <c r="BP67" s="12" t="s">
        <v>995</v>
      </c>
      <c r="BQ67" s="244" t="str">
        <f t="shared" si="4"/>
        <v>{[12_14T]:[BA03]}</v>
      </c>
      <c r="BR67" s="42" t="str">
        <f t="shared" si="7"/>
        <v>Remo Clear Amb Batter</v>
      </c>
      <c r="CB67" s="116"/>
      <c r="CC67" s="12" t="s">
        <v>76</v>
      </c>
      <c r="CD67" s="12" t="s">
        <v>186</v>
      </c>
      <c r="CE67" s="12" t="s">
        <v>1004</v>
      </c>
      <c r="CF67" s="244" t="s">
        <v>1072</v>
      </c>
      <c r="CG67" s="42" t="s">
        <v>1419</v>
      </c>
    </row>
    <row r="68" spans="7:85" x14ac:dyDescent="0.3">
      <c r="G68" s="12" t="s">
        <v>17</v>
      </c>
      <c r="H68" s="12" t="s">
        <v>287</v>
      </c>
      <c r="I68" s="12" t="s">
        <v>321</v>
      </c>
      <c r="J68" s="129" t="str">
        <f t="shared" si="10"/>
        <v>Satin Natural</v>
      </c>
      <c r="K68" s="129"/>
      <c r="L68" s="129"/>
      <c r="O68" s="13" t="s">
        <v>382</v>
      </c>
      <c r="P68" s="12" t="s">
        <v>902</v>
      </c>
      <c r="Q68" s="129" t="str">
        <f t="shared" si="9"/>
        <v>Satin Sable w/Inlay</v>
      </c>
      <c r="T68" s="13"/>
      <c r="U68" s="91"/>
      <c r="X68" s="14"/>
      <c r="Y68" s="13"/>
      <c r="Z68" s="129"/>
      <c r="AD68" s="144"/>
      <c r="AE68" s="13" t="s">
        <v>384</v>
      </c>
      <c r="AF68" s="13" t="s">
        <v>384</v>
      </c>
      <c r="AG68" s="129" t="str">
        <f t="shared" si="8"/>
        <v>White Cortex</v>
      </c>
      <c r="AO68" s="14" t="s">
        <v>561</v>
      </c>
      <c r="AP68" s="12" t="s">
        <v>49</v>
      </c>
      <c r="AQ68" s="14" t="s">
        <v>518</v>
      </c>
      <c r="AR68" s="12" t="s">
        <v>952</v>
      </c>
      <c r="AS68" s="129" t="s">
        <v>1342</v>
      </c>
      <c r="AW68" s="16"/>
      <c r="AX68" s="12"/>
      <c r="AY68" s="77"/>
      <c r="AZ68" s="129"/>
      <c r="BN68" s="154" t="str">
        <f t="shared" ref="BN68:BN131" si="11">CONCATENATE("L",RIGHT(BO68,1))</f>
        <v>LF</v>
      </c>
      <c r="BO68" s="12" t="s">
        <v>113</v>
      </c>
      <c r="BP68" s="12" t="s">
        <v>995</v>
      </c>
      <c r="BQ68" s="244" t="str">
        <f t="shared" ref="BQ68:BQ131" si="12">CONCATENATE("{[",BO68,"]:[",BP68,"]}")</f>
        <v>{[13_14F]:[BA03]}</v>
      </c>
      <c r="BR68" s="42" t="str">
        <f t="shared" si="7"/>
        <v>Remo Clear Amb Batter</v>
      </c>
      <c r="CB68" s="116"/>
      <c r="CC68" s="12" t="s">
        <v>76</v>
      </c>
      <c r="CD68" s="12" t="s">
        <v>187</v>
      </c>
      <c r="CE68" s="12" t="s">
        <v>1004</v>
      </c>
      <c r="CF68" s="244" t="s">
        <v>1073</v>
      </c>
      <c r="CG68" s="42" t="s">
        <v>1419</v>
      </c>
    </row>
    <row r="69" spans="7:85" x14ac:dyDescent="0.3">
      <c r="G69" s="12" t="s">
        <v>17</v>
      </c>
      <c r="H69" s="12" t="s">
        <v>287</v>
      </c>
      <c r="I69" s="12" t="s">
        <v>912</v>
      </c>
      <c r="J69" s="129" t="str">
        <f t="shared" si="10"/>
        <v>Satin Natural w/Accent</v>
      </c>
      <c r="K69" s="129"/>
      <c r="L69" s="129"/>
      <c r="O69" s="13" t="s">
        <v>384</v>
      </c>
      <c r="P69" s="12" t="s">
        <v>60</v>
      </c>
      <c r="Q69" s="129" t="str">
        <f t="shared" si="9"/>
        <v>Matching Hoop</v>
      </c>
      <c r="T69" s="13"/>
      <c r="U69" s="91"/>
      <c r="X69" s="14"/>
      <c r="Y69" s="13"/>
      <c r="Z69" s="129"/>
      <c r="AD69" s="144"/>
      <c r="AE69" s="13" t="s">
        <v>386</v>
      </c>
      <c r="AF69" s="13" t="s">
        <v>386</v>
      </c>
      <c r="AG69" s="129" t="e">
        <f t="shared" si="8"/>
        <v>#N/A</v>
      </c>
      <c r="AO69" s="14" t="s">
        <v>561</v>
      </c>
      <c r="AP69" s="12" t="s">
        <v>49</v>
      </c>
      <c r="AQ69" s="14" t="s">
        <v>518</v>
      </c>
      <c r="AR69" s="12" t="s">
        <v>946</v>
      </c>
      <c r="AS69" s="129" t="s">
        <v>1339</v>
      </c>
      <c r="AW69" s="12"/>
      <c r="AX69" s="12"/>
      <c r="AY69" s="12"/>
      <c r="AZ69" s="129"/>
      <c r="BN69" s="154" t="str">
        <f t="shared" si="11"/>
        <v>LT</v>
      </c>
      <c r="BO69" s="12" t="s">
        <v>175</v>
      </c>
      <c r="BP69" s="12" t="s">
        <v>995</v>
      </c>
      <c r="BQ69" s="244" t="str">
        <f t="shared" si="12"/>
        <v>{[13_14T]:[BA03]}</v>
      </c>
      <c r="BR69" s="42" t="str">
        <f t="shared" ref="BR69:BR132" si="13">VLOOKUP(BP69,$BJ$4:$BK$13,2,FALSE)</f>
        <v>Remo Clear Amb Batter</v>
      </c>
      <c r="CB69" s="116"/>
      <c r="CC69" s="12" t="s">
        <v>76</v>
      </c>
      <c r="CD69" s="12" t="s">
        <v>189</v>
      </c>
      <c r="CE69" s="12" t="s">
        <v>1004</v>
      </c>
      <c r="CF69" s="244" t="s">
        <v>1074</v>
      </c>
      <c r="CG69" s="42" t="s">
        <v>1419</v>
      </c>
    </row>
    <row r="70" spans="7:85" x14ac:dyDescent="0.3">
      <c r="G70" s="12" t="s">
        <v>15</v>
      </c>
      <c r="H70" s="12" t="s">
        <v>333</v>
      </c>
      <c r="I70" s="12" t="s">
        <v>60</v>
      </c>
      <c r="J70" s="129" t="str">
        <f t="shared" si="10"/>
        <v>Matching Hoop</v>
      </c>
      <c r="K70" s="129"/>
      <c r="L70" s="129"/>
      <c r="O70" s="13" t="s">
        <v>386</v>
      </c>
      <c r="P70" s="12" t="s">
        <v>902</v>
      </c>
      <c r="Q70" s="129" t="str">
        <f t="shared" si="9"/>
        <v>Satin Sable w/Inlay</v>
      </c>
      <c r="T70" s="13"/>
      <c r="U70" s="91"/>
      <c r="X70" s="14"/>
      <c r="Y70" s="13"/>
      <c r="Z70" s="129"/>
      <c r="AD70" s="144"/>
      <c r="AE70" s="13" t="s">
        <v>387</v>
      </c>
      <c r="AF70" s="13" t="s">
        <v>387</v>
      </c>
      <c r="AG70" s="129" t="str">
        <f t="shared" si="8"/>
        <v>White Marine Pearl</v>
      </c>
      <c r="AO70" s="14" t="s">
        <v>561</v>
      </c>
      <c r="AP70" s="12" t="s">
        <v>49</v>
      </c>
      <c r="AQ70" s="14" t="s">
        <v>518</v>
      </c>
      <c r="AR70" s="12" t="s">
        <v>950</v>
      </c>
      <c r="AS70" s="129" t="s">
        <v>1341</v>
      </c>
      <c r="AW70" s="12"/>
      <c r="AX70" s="12"/>
      <c r="AY70" s="12"/>
      <c r="AZ70" s="129"/>
      <c r="BN70" s="154" t="str">
        <f t="shared" si="11"/>
        <v>LF</v>
      </c>
      <c r="BO70" s="12" t="s">
        <v>116</v>
      </c>
      <c r="BP70" s="12" t="s">
        <v>995</v>
      </c>
      <c r="BQ70" s="244" t="str">
        <f t="shared" si="12"/>
        <v>{[14_14F]:[BA03]}</v>
      </c>
      <c r="BR70" s="42" t="str">
        <f t="shared" si="13"/>
        <v>Remo Clear Amb Batter</v>
      </c>
      <c r="CB70" s="116"/>
      <c r="CC70" s="12" t="s">
        <v>76</v>
      </c>
      <c r="CD70" s="12" t="s">
        <v>524</v>
      </c>
      <c r="CE70" s="12" t="s">
        <v>1365</v>
      </c>
      <c r="CF70" s="244" t="s">
        <v>1366</v>
      </c>
      <c r="CG70" s="42" t="s">
        <v>1417</v>
      </c>
    </row>
    <row r="71" spans="7:85" x14ac:dyDescent="0.3">
      <c r="G71" s="12" t="s">
        <v>15</v>
      </c>
      <c r="H71" s="12" t="s">
        <v>333</v>
      </c>
      <c r="I71" s="12" t="s">
        <v>26</v>
      </c>
      <c r="J71" s="129" t="str">
        <f t="shared" si="10"/>
        <v>Satin Sable</v>
      </c>
      <c r="K71" s="129"/>
      <c r="L71" s="129"/>
      <c r="O71" s="13" t="s">
        <v>387</v>
      </c>
      <c r="P71" s="12" t="s">
        <v>902</v>
      </c>
      <c r="Q71" s="129" t="str">
        <f t="shared" si="9"/>
        <v>Satin Sable w/Inlay</v>
      </c>
      <c r="T71" s="13"/>
      <c r="U71" s="91"/>
      <c r="X71" s="14"/>
      <c r="Y71" s="13"/>
      <c r="Z71" s="129"/>
      <c r="AD71" s="144"/>
      <c r="AE71" s="13" t="s">
        <v>1884</v>
      </c>
      <c r="AF71" s="13" t="s">
        <v>1884</v>
      </c>
      <c r="AG71" s="129" t="str">
        <f t="shared" si="8"/>
        <v>Ebony Pearl</v>
      </c>
      <c r="AO71" s="14" t="s">
        <v>561</v>
      </c>
      <c r="AP71" s="12" t="s">
        <v>49</v>
      </c>
      <c r="AQ71" s="14" t="s">
        <v>518</v>
      </c>
      <c r="AR71" s="12" t="s">
        <v>954</v>
      </c>
      <c r="AS71" s="129" t="s">
        <v>1343</v>
      </c>
      <c r="AW71" s="12"/>
      <c r="AX71" s="12"/>
      <c r="AY71" s="12"/>
      <c r="AZ71" s="129"/>
      <c r="BN71" s="154" t="str">
        <f t="shared" si="11"/>
        <v>LT</v>
      </c>
      <c r="BO71" s="12" t="s">
        <v>176</v>
      </c>
      <c r="BP71" s="12" t="s">
        <v>995</v>
      </c>
      <c r="BQ71" s="244" t="str">
        <f t="shared" si="12"/>
        <v>{[14_14T]:[BA03]}</v>
      </c>
      <c r="BR71" s="42" t="str">
        <f t="shared" si="13"/>
        <v>Remo Clear Amb Batter</v>
      </c>
      <c r="CB71" s="116"/>
      <c r="CC71" s="12" t="s">
        <v>76</v>
      </c>
      <c r="CD71" s="12" t="s">
        <v>191</v>
      </c>
      <c r="CE71" s="12" t="s">
        <v>1365</v>
      </c>
      <c r="CF71" s="244" t="s">
        <v>1367</v>
      </c>
      <c r="CG71" s="42" t="s">
        <v>1417</v>
      </c>
    </row>
    <row r="72" spans="7:85" x14ac:dyDescent="0.3">
      <c r="G72" s="12" t="s">
        <v>15</v>
      </c>
      <c r="H72" s="12" t="s">
        <v>333</v>
      </c>
      <c r="I72" s="12" t="s">
        <v>914</v>
      </c>
      <c r="J72" s="129" t="str">
        <f t="shared" si="10"/>
        <v>Satin Sable w/Accent</v>
      </c>
      <c r="K72" s="129"/>
      <c r="L72" s="129"/>
      <c r="O72" s="15" t="s">
        <v>329</v>
      </c>
      <c r="P72" s="12" t="s">
        <v>60</v>
      </c>
      <c r="Q72" s="129" t="str">
        <f t="shared" si="9"/>
        <v>Matching Hoop</v>
      </c>
      <c r="T72" s="13"/>
      <c r="U72" s="91"/>
      <c r="X72" s="14"/>
      <c r="Y72" s="13"/>
      <c r="Z72" s="129"/>
      <c r="AD72" s="144"/>
      <c r="AE72" s="15"/>
      <c r="AF72" s="15"/>
      <c r="AG72" s="129"/>
      <c r="AO72" s="14" t="s">
        <v>561</v>
      </c>
      <c r="AP72" s="12" t="s">
        <v>49</v>
      </c>
      <c r="AQ72" s="14" t="s">
        <v>16</v>
      </c>
      <c r="AR72" s="12" t="s">
        <v>946</v>
      </c>
      <c r="AS72" s="129" t="s">
        <v>1339</v>
      </c>
      <c r="AW72" s="16"/>
      <c r="AX72" s="12"/>
      <c r="AY72" s="77"/>
      <c r="AZ72" s="129"/>
      <c r="BN72" s="154" t="str">
        <f t="shared" si="11"/>
        <v>LT</v>
      </c>
      <c r="BO72" s="12" t="s">
        <v>151</v>
      </c>
      <c r="BP72" s="12" t="s">
        <v>995</v>
      </c>
      <c r="BQ72" s="244" t="str">
        <f t="shared" si="12"/>
        <v>{[9_14T]:[BA03]}</v>
      </c>
      <c r="BR72" s="42" t="str">
        <f t="shared" si="13"/>
        <v>Remo Clear Amb Batter</v>
      </c>
      <c r="CB72" s="116"/>
      <c r="CC72" s="12" t="s">
        <v>76</v>
      </c>
      <c r="CD72" s="12" t="s">
        <v>196</v>
      </c>
      <c r="CE72" s="12" t="s">
        <v>1365</v>
      </c>
      <c r="CF72" s="244" t="s">
        <v>1368</v>
      </c>
      <c r="CG72" s="42" t="s">
        <v>1417</v>
      </c>
    </row>
    <row r="73" spans="7:85" x14ac:dyDescent="0.3">
      <c r="G73" s="12" t="s">
        <v>15</v>
      </c>
      <c r="H73" s="12" t="s">
        <v>333</v>
      </c>
      <c r="I73" s="12" t="s">
        <v>321</v>
      </c>
      <c r="J73" s="129" t="str">
        <f t="shared" si="10"/>
        <v>Satin Natural</v>
      </c>
      <c r="K73" s="129"/>
      <c r="L73" s="129"/>
      <c r="O73" s="15"/>
      <c r="P73" s="12"/>
      <c r="Q73" s="129"/>
      <c r="T73" s="13"/>
      <c r="U73" s="91"/>
      <c r="X73" s="14"/>
      <c r="Y73" s="13"/>
      <c r="Z73" s="129"/>
      <c r="AD73" s="144"/>
      <c r="AE73" s="13"/>
      <c r="AF73" s="15"/>
      <c r="AG73" s="129"/>
      <c r="AO73" s="14" t="s">
        <v>561</v>
      </c>
      <c r="AP73" s="12" t="s">
        <v>49</v>
      </c>
      <c r="AQ73" s="14" t="s">
        <v>16</v>
      </c>
      <c r="AR73" s="12" t="s">
        <v>950</v>
      </c>
      <c r="AS73" s="129" t="s">
        <v>1341</v>
      </c>
      <c r="AW73" s="16"/>
      <c r="AX73" s="12"/>
      <c r="AY73" s="77"/>
      <c r="AZ73" s="129"/>
      <c r="BN73" s="154" t="str">
        <f t="shared" si="11"/>
        <v>LT</v>
      </c>
      <c r="BO73" s="12" t="s">
        <v>178</v>
      </c>
      <c r="BP73" s="12" t="s">
        <v>995</v>
      </c>
      <c r="BQ73" s="244" t="str">
        <f t="shared" si="12"/>
        <v>{[12_15T]:[BA03]}</v>
      </c>
      <c r="BR73" s="42" t="str">
        <f t="shared" si="13"/>
        <v>Remo Clear Amb Batter</v>
      </c>
      <c r="CB73" s="116"/>
      <c r="CC73" s="12" t="s">
        <v>76</v>
      </c>
      <c r="CD73" s="12" t="s">
        <v>192</v>
      </c>
      <c r="CE73" s="12" t="s">
        <v>1365</v>
      </c>
      <c r="CF73" s="244" t="s">
        <v>1369</v>
      </c>
      <c r="CG73" s="42" t="s">
        <v>1417</v>
      </c>
    </row>
    <row r="74" spans="7:85" x14ac:dyDescent="0.3">
      <c r="G74" s="12" t="s">
        <v>15</v>
      </c>
      <c r="H74" s="12" t="s">
        <v>333</v>
      </c>
      <c r="I74" s="12" t="s">
        <v>912</v>
      </c>
      <c r="J74" s="129" t="str">
        <f t="shared" si="10"/>
        <v>Satin Natural w/Accent</v>
      </c>
      <c r="K74" s="129"/>
      <c r="L74" s="129"/>
      <c r="O74" s="13"/>
      <c r="P74" s="12"/>
      <c r="Q74" s="129"/>
      <c r="T74" s="13"/>
      <c r="U74" s="91"/>
      <c r="X74" s="14"/>
      <c r="Y74" s="13"/>
      <c r="Z74" s="129"/>
      <c r="AD74" s="144"/>
      <c r="AE74" s="13"/>
      <c r="AF74" s="13"/>
      <c r="AG74" s="129"/>
      <c r="AO74" s="14" t="s">
        <v>561</v>
      </c>
      <c r="AP74" s="12" t="s">
        <v>49</v>
      </c>
      <c r="AQ74" s="14" t="s">
        <v>16</v>
      </c>
      <c r="AR74" s="12" t="s">
        <v>954</v>
      </c>
      <c r="AS74" s="129" t="s">
        <v>1343</v>
      </c>
      <c r="AW74" s="12"/>
      <c r="AX74" s="12"/>
      <c r="AY74" s="12"/>
      <c r="AZ74" s="129"/>
      <c r="BN74" s="154" t="str">
        <f t="shared" si="11"/>
        <v>LF</v>
      </c>
      <c r="BO74" s="12" t="s">
        <v>118</v>
      </c>
      <c r="BP74" s="12" t="s">
        <v>995</v>
      </c>
      <c r="BQ74" s="244" t="str">
        <f t="shared" si="12"/>
        <v>{[13_15F]:[BA03]}</v>
      </c>
      <c r="BR74" s="42" t="str">
        <f t="shared" si="13"/>
        <v>Remo Clear Amb Batter</v>
      </c>
      <c r="CB74" s="116"/>
      <c r="CC74" s="12" t="s">
        <v>76</v>
      </c>
      <c r="CD74" s="12" t="s">
        <v>197</v>
      </c>
      <c r="CE74" s="12" t="s">
        <v>1365</v>
      </c>
      <c r="CF74" s="244" t="s">
        <v>1370</v>
      </c>
      <c r="CG74" s="42" t="s">
        <v>1417</v>
      </c>
    </row>
    <row r="75" spans="7:85" x14ac:dyDescent="0.3">
      <c r="G75" s="12" t="s">
        <v>15</v>
      </c>
      <c r="H75" s="12" t="s">
        <v>333</v>
      </c>
      <c r="I75" s="12" t="s">
        <v>313</v>
      </c>
      <c r="J75" s="129" t="str">
        <f t="shared" si="10"/>
        <v>Sable Black</v>
      </c>
      <c r="K75" s="129"/>
      <c r="L75" s="129"/>
      <c r="O75" s="13"/>
      <c r="P75" s="12"/>
      <c r="Q75" s="129"/>
      <c r="T75" s="13"/>
      <c r="U75" s="91"/>
      <c r="X75" s="14"/>
      <c r="Y75" s="13"/>
      <c r="Z75" s="129"/>
      <c r="AD75" s="144"/>
      <c r="AE75" s="13"/>
      <c r="AF75" s="13"/>
      <c r="AG75" s="129"/>
      <c r="AO75" s="14" t="s">
        <v>561</v>
      </c>
      <c r="AP75" s="12" t="s">
        <v>49</v>
      </c>
      <c r="AQ75" s="14" t="s">
        <v>22</v>
      </c>
      <c r="AR75" s="12" t="s">
        <v>952</v>
      </c>
      <c r="AS75" s="129" t="s">
        <v>1342</v>
      </c>
      <c r="AW75" s="12"/>
      <c r="AX75" s="12"/>
      <c r="AY75" s="12"/>
      <c r="AZ75" s="129"/>
      <c r="BN75" s="154" t="str">
        <f t="shared" si="11"/>
        <v>LT</v>
      </c>
      <c r="BO75" s="12" t="s">
        <v>179</v>
      </c>
      <c r="BP75" s="12" t="s">
        <v>995</v>
      </c>
      <c r="BQ75" s="244" t="str">
        <f t="shared" si="12"/>
        <v>{[13_15T]:[BA03]}</v>
      </c>
      <c r="BR75" s="42" t="str">
        <f t="shared" si="13"/>
        <v>Remo Clear Amb Batter</v>
      </c>
      <c r="CB75" s="116"/>
      <c r="CC75" s="12" t="s">
        <v>76</v>
      </c>
      <c r="CD75" s="12" t="s">
        <v>193</v>
      </c>
      <c r="CE75" s="12" t="s">
        <v>1365</v>
      </c>
      <c r="CF75" s="244" t="s">
        <v>1371</v>
      </c>
      <c r="CG75" s="42" t="s">
        <v>1417</v>
      </c>
    </row>
    <row r="76" spans="7:85" x14ac:dyDescent="0.3">
      <c r="G76" s="12" t="s">
        <v>16</v>
      </c>
      <c r="H76" s="12" t="s">
        <v>333</v>
      </c>
      <c r="I76" s="12" t="s">
        <v>60</v>
      </c>
      <c r="J76" s="129" t="str">
        <f t="shared" si="10"/>
        <v>Matching Hoop</v>
      </c>
      <c r="K76" s="129"/>
      <c r="L76" s="129"/>
      <c r="O76" s="13"/>
      <c r="P76" s="12"/>
      <c r="Q76" s="129"/>
      <c r="T76" s="13"/>
      <c r="U76" s="91"/>
      <c r="X76" s="14"/>
      <c r="Y76" s="13"/>
      <c r="Z76" s="129"/>
      <c r="AD76" s="144"/>
      <c r="AE76" s="13"/>
      <c r="AF76" s="13"/>
      <c r="AG76" s="129"/>
      <c r="AO76" s="14" t="s">
        <v>561</v>
      </c>
      <c r="AP76" s="12" t="s">
        <v>49</v>
      </c>
      <c r="AQ76" s="14" t="s">
        <v>22</v>
      </c>
      <c r="AR76" s="12" t="s">
        <v>946</v>
      </c>
      <c r="AS76" s="129" t="s">
        <v>1339</v>
      </c>
      <c r="AW76" s="12"/>
      <c r="AX76" s="12"/>
      <c r="AY76" s="12"/>
      <c r="AZ76" s="129"/>
      <c r="BN76" s="154" t="str">
        <f t="shared" si="11"/>
        <v>LF</v>
      </c>
      <c r="BO76" s="12" t="s">
        <v>122</v>
      </c>
      <c r="BP76" s="12" t="s">
        <v>995</v>
      </c>
      <c r="BQ76" s="244" t="str">
        <f t="shared" si="12"/>
        <v>{[14_15F]:[BA03]}</v>
      </c>
      <c r="BR76" s="42" t="str">
        <f t="shared" si="13"/>
        <v>Remo Clear Amb Batter</v>
      </c>
      <c r="CB76" s="116"/>
      <c r="CC76" s="12" t="s">
        <v>76</v>
      </c>
      <c r="CD76" s="12" t="s">
        <v>198</v>
      </c>
      <c r="CE76" s="12" t="s">
        <v>1365</v>
      </c>
      <c r="CF76" s="244" t="s">
        <v>1372</v>
      </c>
      <c r="CG76" s="42" t="s">
        <v>1417</v>
      </c>
    </row>
    <row r="77" spans="7:85" x14ac:dyDescent="0.3">
      <c r="G77" s="12" t="s">
        <v>16</v>
      </c>
      <c r="H77" s="12" t="s">
        <v>333</v>
      </c>
      <c r="I77" s="12" t="s">
        <v>26</v>
      </c>
      <c r="J77" s="129" t="str">
        <f t="shared" si="10"/>
        <v>Satin Sable</v>
      </c>
      <c r="K77" s="129"/>
      <c r="L77" s="129"/>
      <c r="O77" s="13"/>
      <c r="P77" s="12"/>
      <c r="Q77" s="129"/>
      <c r="T77" s="13"/>
      <c r="U77" s="91"/>
      <c r="X77" s="14"/>
      <c r="Y77" s="13"/>
      <c r="Z77" s="129"/>
      <c r="AD77" s="144"/>
      <c r="AE77" s="15"/>
      <c r="AF77" s="15"/>
      <c r="AG77" s="129"/>
      <c r="AO77" s="14" t="s">
        <v>561</v>
      </c>
      <c r="AP77" s="12" t="s">
        <v>49</v>
      </c>
      <c r="AQ77" s="14" t="s">
        <v>22</v>
      </c>
      <c r="AR77" s="12" t="s">
        <v>950</v>
      </c>
      <c r="AS77" s="129" t="s">
        <v>1341</v>
      </c>
      <c r="AW77" s="63"/>
      <c r="AX77" s="12"/>
      <c r="AY77" s="77"/>
      <c r="AZ77" s="129"/>
      <c r="BN77" s="154" t="str">
        <f t="shared" si="11"/>
        <v>LT</v>
      </c>
      <c r="BO77" s="12" t="s">
        <v>180</v>
      </c>
      <c r="BP77" s="12" t="s">
        <v>995</v>
      </c>
      <c r="BQ77" s="244" t="str">
        <f t="shared" si="12"/>
        <v>{[14_15T]:[BA03]}</v>
      </c>
      <c r="BR77" s="42" t="str">
        <f t="shared" si="13"/>
        <v>Remo Clear Amb Batter</v>
      </c>
      <c r="CB77" s="116"/>
      <c r="CC77" s="12" t="s">
        <v>76</v>
      </c>
      <c r="CD77" s="12" t="s">
        <v>194</v>
      </c>
      <c r="CE77" s="12" t="s">
        <v>1365</v>
      </c>
      <c r="CF77" s="244" t="s">
        <v>1373</v>
      </c>
      <c r="CG77" s="42" t="s">
        <v>1417</v>
      </c>
    </row>
    <row r="78" spans="7:85" x14ac:dyDescent="0.3">
      <c r="G78" s="12" t="s">
        <v>16</v>
      </c>
      <c r="H78" s="12" t="s">
        <v>333</v>
      </c>
      <c r="I78" s="12" t="s">
        <v>914</v>
      </c>
      <c r="J78" s="129" t="str">
        <f t="shared" si="10"/>
        <v>Satin Sable w/Accent</v>
      </c>
      <c r="K78" s="129"/>
      <c r="L78" s="129"/>
      <c r="O78" s="13"/>
      <c r="P78" s="12"/>
      <c r="Q78" s="129"/>
      <c r="T78" s="13"/>
      <c r="U78" s="91"/>
      <c r="X78" s="14"/>
      <c r="Y78" s="13"/>
      <c r="Z78" s="129"/>
      <c r="AD78" s="144"/>
      <c r="AE78" s="13"/>
      <c r="AF78" s="13"/>
      <c r="AG78" s="129"/>
      <c r="AO78" s="14" t="s">
        <v>561</v>
      </c>
      <c r="AP78" s="12" t="s">
        <v>49</v>
      </c>
      <c r="AQ78" s="14" t="s">
        <v>22</v>
      </c>
      <c r="AR78" s="12" t="s">
        <v>954</v>
      </c>
      <c r="AS78" s="129" t="s">
        <v>1343</v>
      </c>
      <c r="AW78" s="63"/>
      <c r="AX78" s="12"/>
      <c r="AY78" s="77"/>
      <c r="AZ78" s="129"/>
      <c r="BN78" s="154" t="str">
        <f t="shared" si="11"/>
        <v>LF</v>
      </c>
      <c r="BO78" s="12" t="s">
        <v>125</v>
      </c>
      <c r="BP78" s="12" t="s">
        <v>995</v>
      </c>
      <c r="BQ78" s="244" t="str">
        <f t="shared" si="12"/>
        <v>{[13_16F]:[BA03]}</v>
      </c>
      <c r="BR78" s="42" t="str">
        <f t="shared" si="13"/>
        <v>Remo Clear Amb Batter</v>
      </c>
      <c r="CB78" s="116"/>
      <c r="CC78" s="12" t="s">
        <v>76</v>
      </c>
      <c r="CD78" s="12" t="s">
        <v>203</v>
      </c>
      <c r="CE78" s="12" t="s">
        <v>1365</v>
      </c>
      <c r="CF78" s="244" t="s">
        <v>1374</v>
      </c>
      <c r="CG78" s="42" t="s">
        <v>1417</v>
      </c>
    </row>
    <row r="79" spans="7:85" x14ac:dyDescent="0.3">
      <c r="G79" s="12" t="s">
        <v>16</v>
      </c>
      <c r="H79" s="12" t="s">
        <v>333</v>
      </c>
      <c r="I79" s="12" t="s">
        <v>321</v>
      </c>
      <c r="J79" s="129" t="str">
        <f t="shared" si="10"/>
        <v>Satin Natural</v>
      </c>
      <c r="K79" s="129"/>
      <c r="L79" s="129"/>
      <c r="O79" s="13"/>
      <c r="P79" s="12"/>
      <c r="Q79" s="129"/>
      <c r="T79" s="13"/>
      <c r="U79" s="91"/>
      <c r="X79" s="14"/>
      <c r="Y79" s="13"/>
      <c r="Z79" s="129"/>
      <c r="AD79" s="144"/>
      <c r="AE79" s="15"/>
      <c r="AF79" s="15"/>
      <c r="AG79" s="129"/>
      <c r="AO79" s="14" t="s">
        <v>561</v>
      </c>
      <c r="AP79" s="12" t="s">
        <v>58</v>
      </c>
      <c r="AQ79" s="14" t="s">
        <v>518</v>
      </c>
      <c r="AR79" s="12" t="s">
        <v>952</v>
      </c>
      <c r="AS79" s="129" t="s">
        <v>1342</v>
      </c>
      <c r="AW79" s="12"/>
      <c r="AX79" s="12"/>
      <c r="AY79" s="12"/>
      <c r="AZ79" s="129"/>
      <c r="BN79" s="154" t="str">
        <f t="shared" si="11"/>
        <v>LT</v>
      </c>
      <c r="BO79" s="12" t="s">
        <v>181</v>
      </c>
      <c r="BP79" s="12" t="s">
        <v>995</v>
      </c>
      <c r="BQ79" s="244" t="str">
        <f t="shared" si="12"/>
        <v>{[13_16T]:[BA03]}</v>
      </c>
      <c r="BR79" s="42" t="str">
        <f t="shared" si="13"/>
        <v>Remo Clear Amb Batter</v>
      </c>
      <c r="CB79" s="116"/>
      <c r="CC79" s="12" t="s">
        <v>76</v>
      </c>
      <c r="CD79" s="12" t="s">
        <v>190</v>
      </c>
      <c r="CE79" s="12" t="s">
        <v>1365</v>
      </c>
      <c r="CF79" s="244" t="s">
        <v>1375</v>
      </c>
      <c r="CG79" s="42" t="s">
        <v>1417</v>
      </c>
    </row>
    <row r="80" spans="7:85" x14ac:dyDescent="0.3">
      <c r="G80" s="12" t="s">
        <v>16</v>
      </c>
      <c r="H80" s="12" t="s">
        <v>333</v>
      </c>
      <c r="I80" s="12" t="s">
        <v>912</v>
      </c>
      <c r="J80" s="129" t="str">
        <f t="shared" si="10"/>
        <v>Satin Natural w/Accent</v>
      </c>
      <c r="K80" s="129"/>
      <c r="L80" s="129"/>
      <c r="O80" s="13"/>
      <c r="P80" s="12"/>
      <c r="Q80" s="129"/>
      <c r="T80" s="13"/>
      <c r="U80" s="91"/>
      <c r="X80" s="14"/>
      <c r="Y80" s="13"/>
      <c r="Z80" s="129"/>
      <c r="AD80" s="144"/>
      <c r="AE80" s="15"/>
      <c r="AF80" s="15"/>
      <c r="AG80" s="129"/>
      <c r="AO80" s="14" t="s">
        <v>561</v>
      </c>
      <c r="AP80" s="12" t="s">
        <v>58</v>
      </c>
      <c r="AQ80" s="14" t="s">
        <v>518</v>
      </c>
      <c r="AR80" s="12" t="s">
        <v>946</v>
      </c>
      <c r="AS80" s="129" t="s">
        <v>1339</v>
      </c>
      <c r="AW80" s="12"/>
      <c r="AX80" s="12"/>
      <c r="AY80" s="12"/>
      <c r="AZ80" s="129"/>
      <c r="BN80" s="154" t="str">
        <f t="shared" si="11"/>
        <v>LF</v>
      </c>
      <c r="BO80" s="12" t="s">
        <v>126</v>
      </c>
      <c r="BP80" s="12" t="s">
        <v>995</v>
      </c>
      <c r="BQ80" s="244" t="str">
        <f t="shared" si="12"/>
        <v>{[14_16F]:[BA03]}</v>
      </c>
      <c r="BR80" s="42" t="str">
        <f t="shared" si="13"/>
        <v>Remo Clear Amb Batter</v>
      </c>
      <c r="CB80" s="116"/>
      <c r="CC80" s="12" t="s">
        <v>76</v>
      </c>
      <c r="CD80" s="12" t="s">
        <v>195</v>
      </c>
      <c r="CE80" s="12" t="s">
        <v>1365</v>
      </c>
      <c r="CF80" s="244" t="s">
        <v>1376</v>
      </c>
      <c r="CG80" s="42" t="s">
        <v>1417</v>
      </c>
    </row>
    <row r="81" spans="7:85" x14ac:dyDescent="0.3">
      <c r="G81" s="12" t="s">
        <v>16</v>
      </c>
      <c r="H81" s="12" t="s">
        <v>333</v>
      </c>
      <c r="I81" s="12" t="s">
        <v>313</v>
      </c>
      <c r="J81" s="129" t="str">
        <f t="shared" si="10"/>
        <v>Sable Black</v>
      </c>
      <c r="K81" s="129"/>
      <c r="L81" s="129"/>
      <c r="O81" s="13"/>
      <c r="P81" s="12"/>
      <c r="Q81" s="129"/>
      <c r="T81" s="13"/>
      <c r="U81" s="91"/>
      <c r="X81" s="14"/>
      <c r="Y81" s="13"/>
      <c r="Z81" s="129"/>
      <c r="AD81" s="144"/>
      <c r="AE81" s="15"/>
      <c r="AF81" s="15"/>
      <c r="AG81" s="129"/>
      <c r="AO81" s="14" t="s">
        <v>561</v>
      </c>
      <c r="AP81" s="12" t="s">
        <v>58</v>
      </c>
      <c r="AQ81" s="14" t="s">
        <v>518</v>
      </c>
      <c r="AR81" s="12" t="s">
        <v>950</v>
      </c>
      <c r="AS81" s="129" t="s">
        <v>1341</v>
      </c>
      <c r="AW81" s="12"/>
      <c r="AX81" s="12"/>
      <c r="AY81" s="12"/>
      <c r="AZ81" s="129"/>
      <c r="BN81" s="154" t="str">
        <f t="shared" si="11"/>
        <v>LT</v>
      </c>
      <c r="BO81" s="12" t="s">
        <v>182</v>
      </c>
      <c r="BP81" s="12" t="s">
        <v>995</v>
      </c>
      <c r="BQ81" s="244" t="str">
        <f t="shared" si="12"/>
        <v>{[14_16T]:[BA03]}</v>
      </c>
      <c r="BR81" s="42" t="str">
        <f t="shared" si="13"/>
        <v>Remo Clear Amb Batter</v>
      </c>
      <c r="CB81" s="116"/>
      <c r="CC81" s="12" t="s">
        <v>76</v>
      </c>
      <c r="CD81" s="12" t="s">
        <v>524</v>
      </c>
      <c r="CE81" s="12" t="s">
        <v>1377</v>
      </c>
      <c r="CF81" s="244" t="s">
        <v>1378</v>
      </c>
      <c r="CG81" s="42" t="s">
        <v>1418</v>
      </c>
    </row>
    <row r="82" spans="7:85" x14ac:dyDescent="0.3">
      <c r="G82" s="12" t="s">
        <v>17</v>
      </c>
      <c r="H82" s="12" t="s">
        <v>333</v>
      </c>
      <c r="I82" s="12" t="s">
        <v>60</v>
      </c>
      <c r="J82" s="129" t="str">
        <f t="shared" si="10"/>
        <v>Matching Hoop</v>
      </c>
      <c r="K82" s="129"/>
      <c r="L82" s="129"/>
      <c r="O82" s="15"/>
      <c r="P82" s="12"/>
      <c r="Q82" s="129"/>
      <c r="T82" s="13"/>
      <c r="U82" s="91"/>
      <c r="X82" s="14"/>
      <c r="Y82" s="13"/>
      <c r="Z82" s="129"/>
      <c r="AD82" s="144"/>
      <c r="AE82" s="13"/>
      <c r="AF82" s="13"/>
      <c r="AG82" s="129"/>
      <c r="AO82" s="14" t="s">
        <v>561</v>
      </c>
      <c r="AP82" s="12" t="s">
        <v>58</v>
      </c>
      <c r="AQ82" s="14" t="s">
        <v>518</v>
      </c>
      <c r="AR82" s="12" t="s">
        <v>954</v>
      </c>
      <c r="AS82" s="129" t="s">
        <v>1343</v>
      </c>
      <c r="AW82" s="16"/>
      <c r="AX82" s="12"/>
      <c r="AY82" s="77"/>
      <c r="AZ82" s="129"/>
      <c r="BN82" s="154" t="str">
        <f t="shared" si="11"/>
        <v>LF</v>
      </c>
      <c r="BO82" s="12" t="s">
        <v>128</v>
      </c>
      <c r="BP82" s="12" t="s">
        <v>995</v>
      </c>
      <c r="BQ82" s="244" t="str">
        <f t="shared" si="12"/>
        <v>{[15_16F]:[BA03]}</v>
      </c>
      <c r="BR82" s="42" t="str">
        <f t="shared" si="13"/>
        <v>Remo Clear Amb Batter</v>
      </c>
      <c r="CB82" s="116"/>
      <c r="CC82" s="12" t="s">
        <v>76</v>
      </c>
      <c r="CD82" s="12" t="s">
        <v>191</v>
      </c>
      <c r="CE82" s="12" t="s">
        <v>1377</v>
      </c>
      <c r="CF82" s="244" t="s">
        <v>1379</v>
      </c>
      <c r="CG82" s="42" t="s">
        <v>1418</v>
      </c>
    </row>
    <row r="83" spans="7:85" x14ac:dyDescent="0.3">
      <c r="G83" s="12" t="s">
        <v>17</v>
      </c>
      <c r="H83" s="12" t="s">
        <v>333</v>
      </c>
      <c r="I83" s="12" t="s">
        <v>26</v>
      </c>
      <c r="J83" s="129" t="str">
        <f t="shared" si="10"/>
        <v>Satin Sable</v>
      </c>
      <c r="K83" s="129"/>
      <c r="L83" s="129"/>
      <c r="O83" s="15"/>
      <c r="P83" s="12"/>
      <c r="Q83" s="129"/>
      <c r="T83" s="141"/>
      <c r="U83" s="143"/>
      <c r="X83" s="14"/>
      <c r="Y83" s="13"/>
      <c r="Z83" s="129"/>
      <c r="AD83" s="144"/>
      <c r="AE83" s="12"/>
      <c r="AF83" s="12"/>
      <c r="AG83" s="129"/>
      <c r="AO83" s="40" t="s">
        <v>561</v>
      </c>
      <c r="AP83" s="16" t="s">
        <v>58</v>
      </c>
      <c r="AQ83" s="16" t="s">
        <v>23</v>
      </c>
      <c r="AR83" s="16" t="s">
        <v>946</v>
      </c>
      <c r="AS83" s="129" t="s">
        <v>1339</v>
      </c>
      <c r="AW83" s="16"/>
      <c r="AX83" s="12"/>
      <c r="AY83" s="77"/>
      <c r="AZ83" s="129"/>
      <c r="BN83" s="154" t="str">
        <f t="shared" si="11"/>
        <v>LT</v>
      </c>
      <c r="BO83" s="12" t="s">
        <v>183</v>
      </c>
      <c r="BP83" s="12" t="s">
        <v>995</v>
      </c>
      <c r="BQ83" s="244" t="str">
        <f t="shared" si="12"/>
        <v>{[15_16T]:[BA03]}</v>
      </c>
      <c r="BR83" s="42" t="str">
        <f t="shared" si="13"/>
        <v>Remo Clear Amb Batter</v>
      </c>
      <c r="CB83" s="116"/>
      <c r="CC83" s="12" t="s">
        <v>76</v>
      </c>
      <c r="CD83" s="12" t="s">
        <v>196</v>
      </c>
      <c r="CE83" s="12" t="s">
        <v>1377</v>
      </c>
      <c r="CF83" s="244" t="s">
        <v>1380</v>
      </c>
      <c r="CG83" s="42" t="s">
        <v>1418</v>
      </c>
    </row>
    <row r="84" spans="7:85" x14ac:dyDescent="0.3">
      <c r="G84" s="12" t="s">
        <v>17</v>
      </c>
      <c r="H84" s="12" t="s">
        <v>333</v>
      </c>
      <c r="I84" s="12" t="s">
        <v>914</v>
      </c>
      <c r="J84" s="129" t="str">
        <f t="shared" ref="J84:J147" si="14">INDEX($C$3:$C$15,MATCH(I84,$B$3:$B$15,0))</f>
        <v>Satin Sable w/Accent</v>
      </c>
      <c r="K84" s="129"/>
      <c r="L84" s="129"/>
      <c r="O84" s="15"/>
      <c r="P84" s="12"/>
      <c r="Q84" s="129"/>
      <c r="T84" s="141"/>
      <c r="U84" s="143"/>
      <c r="X84" s="14"/>
      <c r="Y84" s="13"/>
      <c r="Z84" s="129"/>
      <c r="AD84" s="144"/>
      <c r="AE84" s="13"/>
      <c r="AF84" s="13"/>
      <c r="AG84" s="129"/>
      <c r="AO84" s="14" t="s">
        <v>561</v>
      </c>
      <c r="AP84" s="12" t="s">
        <v>58</v>
      </c>
      <c r="AQ84" s="12" t="s">
        <v>23</v>
      </c>
      <c r="AR84" s="12" t="s">
        <v>950</v>
      </c>
      <c r="AS84" s="129" t="s">
        <v>1341</v>
      </c>
      <c r="AW84" s="12"/>
      <c r="AX84" s="12"/>
      <c r="AY84" s="12"/>
      <c r="AZ84" s="129"/>
      <c r="BN84" s="154" t="str">
        <f t="shared" si="11"/>
        <v>LF</v>
      </c>
      <c r="BO84" s="12" t="s">
        <v>129</v>
      </c>
      <c r="BP84" s="12" t="s">
        <v>995</v>
      </c>
      <c r="BQ84" s="244" t="str">
        <f t="shared" si="12"/>
        <v>{[16_16F]:[BA03]}</v>
      </c>
      <c r="BR84" s="42" t="str">
        <f t="shared" si="13"/>
        <v>Remo Clear Amb Batter</v>
      </c>
      <c r="CB84" s="116"/>
      <c r="CC84" s="12" t="s">
        <v>76</v>
      </c>
      <c r="CD84" s="12" t="s">
        <v>192</v>
      </c>
      <c r="CE84" s="12" t="s">
        <v>1377</v>
      </c>
      <c r="CF84" s="244" t="s">
        <v>1381</v>
      </c>
      <c r="CG84" s="42" t="s">
        <v>1418</v>
      </c>
    </row>
    <row r="85" spans="7:85" x14ac:dyDescent="0.3">
      <c r="G85" s="12" t="s">
        <v>17</v>
      </c>
      <c r="H85" s="12" t="s">
        <v>333</v>
      </c>
      <c r="I85" s="12" t="s">
        <v>321</v>
      </c>
      <c r="J85" s="129" t="str">
        <f t="shared" si="14"/>
        <v>Satin Natural</v>
      </c>
      <c r="K85" s="129"/>
      <c r="L85" s="129"/>
      <c r="O85" s="15"/>
      <c r="P85" s="12"/>
      <c r="Q85" s="129"/>
      <c r="T85" s="141"/>
      <c r="U85" s="143"/>
      <c r="X85" s="14"/>
      <c r="Y85" s="13"/>
      <c r="Z85" s="129"/>
      <c r="AD85" s="144"/>
      <c r="AE85" s="15"/>
      <c r="AF85" s="15"/>
      <c r="AG85" s="129"/>
      <c r="AO85" s="14" t="s">
        <v>561</v>
      </c>
      <c r="AP85" s="12" t="s">
        <v>58</v>
      </c>
      <c r="AQ85" s="12" t="s">
        <v>23</v>
      </c>
      <c r="AR85" s="12" t="s">
        <v>954</v>
      </c>
      <c r="AS85" s="129" t="s">
        <v>1343</v>
      </c>
      <c r="AW85" s="12"/>
      <c r="AX85" s="12"/>
      <c r="AY85" s="12"/>
      <c r="AZ85" s="129"/>
      <c r="BN85" s="154" t="str">
        <f t="shared" si="11"/>
        <v>LT</v>
      </c>
      <c r="BO85" s="12" t="s">
        <v>184</v>
      </c>
      <c r="BP85" s="12" t="s">
        <v>995</v>
      </c>
      <c r="BQ85" s="244" t="str">
        <f t="shared" si="12"/>
        <v>{[16_16T]:[BA03]}</v>
      </c>
      <c r="BR85" s="42" t="str">
        <f t="shared" si="13"/>
        <v>Remo Clear Amb Batter</v>
      </c>
      <c r="CB85" s="116"/>
      <c r="CC85" s="12" t="s">
        <v>76</v>
      </c>
      <c r="CD85" s="12" t="s">
        <v>197</v>
      </c>
      <c r="CE85" s="12" t="s">
        <v>1377</v>
      </c>
      <c r="CF85" s="244" t="s">
        <v>1382</v>
      </c>
      <c r="CG85" s="42" t="s">
        <v>1418</v>
      </c>
    </row>
    <row r="86" spans="7:85" x14ac:dyDescent="0.3">
      <c r="G86" s="12" t="s">
        <v>17</v>
      </c>
      <c r="H86" s="12" t="s">
        <v>333</v>
      </c>
      <c r="I86" s="12" t="s">
        <v>912</v>
      </c>
      <c r="J86" s="129" t="str">
        <f t="shared" si="14"/>
        <v>Satin Natural w/Accent</v>
      </c>
      <c r="K86" s="129"/>
      <c r="L86" s="129"/>
      <c r="O86" s="13"/>
      <c r="P86" s="12"/>
      <c r="Q86" s="129"/>
      <c r="T86" s="141"/>
      <c r="U86" s="143"/>
      <c r="X86" s="14"/>
      <c r="Y86" s="13"/>
      <c r="Z86" s="129"/>
      <c r="AD86" s="144"/>
      <c r="AE86" s="13"/>
      <c r="AF86" s="13"/>
      <c r="AG86" s="129"/>
      <c r="AO86" s="14" t="s">
        <v>561</v>
      </c>
      <c r="AP86" s="12" t="s">
        <v>58</v>
      </c>
      <c r="AQ86" s="14" t="s">
        <v>16</v>
      </c>
      <c r="AR86" s="12" t="s">
        <v>946</v>
      </c>
      <c r="AS86" s="129" t="s">
        <v>1339</v>
      </c>
      <c r="AW86" s="12"/>
      <c r="AX86" s="12"/>
      <c r="AY86" s="12"/>
      <c r="AZ86" s="129"/>
      <c r="BN86" s="154" t="str">
        <f t="shared" si="11"/>
        <v>LF</v>
      </c>
      <c r="BO86" s="12" t="s">
        <v>131</v>
      </c>
      <c r="BP86" s="12" t="s">
        <v>995</v>
      </c>
      <c r="BQ86" s="244" t="str">
        <f t="shared" si="12"/>
        <v>{[16_18F]:[BA03]}</v>
      </c>
      <c r="BR86" s="42" t="str">
        <f t="shared" si="13"/>
        <v>Remo Clear Amb Batter</v>
      </c>
      <c r="CB86" s="116"/>
      <c r="CC86" s="12" t="s">
        <v>76</v>
      </c>
      <c r="CD86" s="12" t="s">
        <v>193</v>
      </c>
      <c r="CE86" s="12" t="s">
        <v>1377</v>
      </c>
      <c r="CF86" s="244" t="s">
        <v>1383</v>
      </c>
      <c r="CG86" s="42" t="s">
        <v>1418</v>
      </c>
    </row>
    <row r="87" spans="7:85" x14ac:dyDescent="0.3">
      <c r="G87" s="12" t="s">
        <v>17</v>
      </c>
      <c r="H87" s="12" t="s">
        <v>333</v>
      </c>
      <c r="I87" s="12" t="s">
        <v>313</v>
      </c>
      <c r="J87" s="129" t="str">
        <f t="shared" si="14"/>
        <v>Sable Black</v>
      </c>
      <c r="K87" s="129"/>
      <c r="L87" s="129"/>
      <c r="O87" s="13"/>
      <c r="P87" s="12"/>
      <c r="Q87" s="129"/>
      <c r="X87" s="14"/>
      <c r="Y87" s="13"/>
      <c r="Z87" s="129"/>
      <c r="AD87" s="144"/>
      <c r="AE87" s="15"/>
      <c r="AF87" s="15"/>
      <c r="AG87" s="129"/>
      <c r="AO87" s="14" t="s">
        <v>561</v>
      </c>
      <c r="AP87" s="12" t="s">
        <v>58</v>
      </c>
      <c r="AQ87" s="14" t="s">
        <v>16</v>
      </c>
      <c r="AR87" s="12" t="s">
        <v>950</v>
      </c>
      <c r="AS87" s="129" t="s">
        <v>1341</v>
      </c>
      <c r="AW87" s="16"/>
      <c r="AX87" s="12"/>
      <c r="AY87" s="77"/>
      <c r="AZ87" s="129"/>
      <c r="BN87" s="154" t="str">
        <f t="shared" si="11"/>
        <v>LT</v>
      </c>
      <c r="BO87" s="12" t="s">
        <v>205</v>
      </c>
      <c r="BP87" s="12" t="s">
        <v>995</v>
      </c>
      <c r="BQ87" s="244" t="str">
        <f t="shared" si="12"/>
        <v>{[16_18T]:[BA03]}</v>
      </c>
      <c r="BR87" s="42" t="str">
        <f t="shared" si="13"/>
        <v>Remo Clear Amb Batter</v>
      </c>
      <c r="CB87" s="116"/>
      <c r="CC87" s="12" t="s">
        <v>76</v>
      </c>
      <c r="CD87" s="12" t="s">
        <v>198</v>
      </c>
      <c r="CE87" s="12" t="s">
        <v>1377</v>
      </c>
      <c r="CF87" s="244" t="s">
        <v>1384</v>
      </c>
      <c r="CG87" s="42" t="s">
        <v>1418</v>
      </c>
    </row>
    <row r="88" spans="7:85" x14ac:dyDescent="0.3">
      <c r="G88" s="12" t="s">
        <v>19</v>
      </c>
      <c r="H88" s="12" t="s">
        <v>333</v>
      </c>
      <c r="I88" s="12" t="s">
        <v>60</v>
      </c>
      <c r="J88" s="129" t="str">
        <f t="shared" si="14"/>
        <v>Matching Hoop</v>
      </c>
      <c r="K88" s="129"/>
      <c r="L88" s="129"/>
      <c r="O88" s="13"/>
      <c r="P88" s="12"/>
      <c r="Q88" s="129"/>
      <c r="X88" s="14"/>
      <c r="Y88" s="13"/>
      <c r="Z88" s="129"/>
      <c r="AD88" s="144"/>
      <c r="AE88" s="13"/>
      <c r="AF88" s="13"/>
      <c r="AG88" s="129"/>
      <c r="AO88" s="14" t="s">
        <v>561</v>
      </c>
      <c r="AP88" s="12" t="s">
        <v>58</v>
      </c>
      <c r="AQ88" s="14" t="s">
        <v>16</v>
      </c>
      <c r="AR88" s="12" t="s">
        <v>954</v>
      </c>
      <c r="AS88" s="129" t="s">
        <v>1343</v>
      </c>
      <c r="AW88" s="16"/>
      <c r="AX88" s="12"/>
      <c r="AY88" s="77"/>
      <c r="AZ88" s="129"/>
      <c r="BN88" s="154" t="str">
        <f t="shared" si="11"/>
        <v>LT</v>
      </c>
      <c r="BO88" s="12" t="s">
        <v>206</v>
      </c>
      <c r="BP88" s="12" t="s">
        <v>996</v>
      </c>
      <c r="BQ88" s="244" t="str">
        <f t="shared" si="12"/>
        <v>{[6_6T]:[BE03]}</v>
      </c>
      <c r="BR88" s="42" t="str">
        <f t="shared" si="13"/>
        <v>Remo Clear Emp Batter</v>
      </c>
      <c r="CB88" s="116"/>
      <c r="CC88" s="12" t="s">
        <v>76</v>
      </c>
      <c r="CD88" s="12" t="s">
        <v>194</v>
      </c>
      <c r="CE88" s="12" t="s">
        <v>1377</v>
      </c>
      <c r="CF88" s="244" t="s">
        <v>1385</v>
      </c>
      <c r="CG88" s="42" t="s">
        <v>1418</v>
      </c>
    </row>
    <row r="89" spans="7:85" x14ac:dyDescent="0.3">
      <c r="G89" s="12" t="s">
        <v>19</v>
      </c>
      <c r="H89" s="12" t="s">
        <v>333</v>
      </c>
      <c r="I89" s="12" t="s">
        <v>26</v>
      </c>
      <c r="J89" s="129" t="str">
        <f t="shared" si="14"/>
        <v>Satin Sable</v>
      </c>
      <c r="K89" s="129"/>
      <c r="L89" s="129"/>
      <c r="O89" s="13"/>
      <c r="P89" s="12"/>
      <c r="Q89" s="129"/>
      <c r="X89" s="14"/>
      <c r="Y89" s="13"/>
      <c r="Z89" s="129"/>
      <c r="AD89" s="144"/>
      <c r="AE89" s="13"/>
      <c r="AF89" s="13"/>
      <c r="AG89" s="129"/>
      <c r="AO89" s="40" t="s">
        <v>561</v>
      </c>
      <c r="AP89" s="16" t="s">
        <v>58</v>
      </c>
      <c r="AQ89" s="16" t="s">
        <v>24</v>
      </c>
      <c r="AR89" s="16" t="s">
        <v>946</v>
      </c>
      <c r="AS89" s="129" t="s">
        <v>1339</v>
      </c>
      <c r="AW89" s="12"/>
      <c r="AX89" s="12"/>
      <c r="AY89" s="12"/>
      <c r="AZ89" s="129"/>
      <c r="BN89" s="154" t="str">
        <f t="shared" si="11"/>
        <v>LT</v>
      </c>
      <c r="BO89" s="12" t="s">
        <v>132</v>
      </c>
      <c r="BP89" s="12" t="s">
        <v>996</v>
      </c>
      <c r="BQ89" s="244" t="str">
        <f t="shared" si="12"/>
        <v>{[7_6T]:[BE03]}</v>
      </c>
      <c r="BR89" s="42" t="str">
        <f t="shared" si="13"/>
        <v>Remo Clear Emp Batter</v>
      </c>
      <c r="CB89" s="116"/>
      <c r="CC89" s="12" t="s">
        <v>76</v>
      </c>
      <c r="CD89" s="12" t="s">
        <v>203</v>
      </c>
      <c r="CE89" s="12" t="s">
        <v>1377</v>
      </c>
      <c r="CF89" s="244" t="s">
        <v>1386</v>
      </c>
      <c r="CG89" s="42" t="s">
        <v>1418</v>
      </c>
    </row>
    <row r="90" spans="7:85" x14ac:dyDescent="0.3">
      <c r="G90" s="12" t="s">
        <v>19</v>
      </c>
      <c r="H90" s="12" t="s">
        <v>333</v>
      </c>
      <c r="I90" s="12" t="s">
        <v>914</v>
      </c>
      <c r="J90" s="129" t="str">
        <f t="shared" si="14"/>
        <v>Satin Sable w/Accent</v>
      </c>
      <c r="K90" s="129"/>
      <c r="L90" s="129"/>
      <c r="O90" s="13"/>
      <c r="P90" s="12"/>
      <c r="Q90" s="129"/>
      <c r="X90" s="14"/>
      <c r="Y90" s="13"/>
      <c r="Z90" s="129"/>
      <c r="AD90" s="144"/>
      <c r="AE90" s="15"/>
      <c r="AF90" s="15"/>
      <c r="AG90" s="129"/>
      <c r="AO90" s="14" t="s">
        <v>561</v>
      </c>
      <c r="AP90" s="12" t="s">
        <v>58</v>
      </c>
      <c r="AQ90" s="12" t="s">
        <v>24</v>
      </c>
      <c r="AR90" s="12" t="s">
        <v>950</v>
      </c>
      <c r="AS90" s="129" t="s">
        <v>1341</v>
      </c>
      <c r="AW90" s="12"/>
      <c r="AX90" s="12"/>
      <c r="AY90" s="12"/>
      <c r="AZ90" s="129"/>
      <c r="BN90" s="154" t="str">
        <f t="shared" si="11"/>
        <v>LT</v>
      </c>
      <c r="BO90" s="12" t="s">
        <v>133</v>
      </c>
      <c r="BP90" s="12" t="s">
        <v>996</v>
      </c>
      <c r="BQ90" s="244" t="str">
        <f t="shared" si="12"/>
        <v>{[8_6T]:[BE03]}</v>
      </c>
      <c r="BR90" s="42" t="str">
        <f t="shared" si="13"/>
        <v>Remo Clear Emp Batter</v>
      </c>
      <c r="CB90" s="116"/>
      <c r="CC90" s="12" t="s">
        <v>76</v>
      </c>
      <c r="CD90" s="12" t="s">
        <v>190</v>
      </c>
      <c r="CE90" s="12" t="s">
        <v>1377</v>
      </c>
      <c r="CF90" s="244" t="s">
        <v>1387</v>
      </c>
      <c r="CG90" s="42" t="s">
        <v>1418</v>
      </c>
    </row>
    <row r="91" spans="7:85" x14ac:dyDescent="0.3">
      <c r="G91" s="12" t="s">
        <v>19</v>
      </c>
      <c r="H91" s="12" t="s">
        <v>333</v>
      </c>
      <c r="I91" s="12" t="s">
        <v>321</v>
      </c>
      <c r="J91" s="129" t="str">
        <f t="shared" si="14"/>
        <v>Satin Natural</v>
      </c>
      <c r="K91" s="129"/>
      <c r="L91" s="129"/>
      <c r="O91" s="13"/>
      <c r="P91" s="12"/>
      <c r="Q91" s="129"/>
      <c r="X91" s="14"/>
      <c r="Y91" s="15"/>
      <c r="Z91" s="129"/>
      <c r="AD91" s="144"/>
      <c r="AE91" s="15"/>
      <c r="AF91" s="15"/>
      <c r="AG91" s="129"/>
      <c r="AO91" s="14" t="s">
        <v>561</v>
      </c>
      <c r="AP91" s="12" t="s">
        <v>58</v>
      </c>
      <c r="AQ91" s="12" t="s">
        <v>24</v>
      </c>
      <c r="AR91" s="12" t="s">
        <v>954</v>
      </c>
      <c r="AS91" s="129" t="s">
        <v>1343</v>
      </c>
      <c r="AW91" s="12"/>
      <c r="AX91" s="12"/>
      <c r="AY91" s="12"/>
      <c r="AZ91" s="129"/>
      <c r="BN91" s="154" t="str">
        <f t="shared" si="11"/>
        <v>LT</v>
      </c>
      <c r="BO91" s="12" t="s">
        <v>207</v>
      </c>
      <c r="BP91" s="12" t="s">
        <v>996</v>
      </c>
      <c r="BQ91" s="244" t="str">
        <f t="shared" si="12"/>
        <v>{[6_8T]:[BE03]}</v>
      </c>
      <c r="BR91" s="42" t="str">
        <f t="shared" si="13"/>
        <v>Remo Clear Emp Batter</v>
      </c>
      <c r="CB91" s="116"/>
      <c r="CC91" s="12" t="s">
        <v>76</v>
      </c>
      <c r="CD91" s="12" t="s">
        <v>195</v>
      </c>
      <c r="CE91" s="12" t="s">
        <v>1377</v>
      </c>
      <c r="CF91" s="244" t="s">
        <v>1388</v>
      </c>
      <c r="CG91" s="42" t="s">
        <v>1418</v>
      </c>
    </row>
    <row r="92" spans="7:85" x14ac:dyDescent="0.3">
      <c r="G92" s="12" t="s">
        <v>19</v>
      </c>
      <c r="H92" s="12" t="s">
        <v>333</v>
      </c>
      <c r="I92" s="12" t="s">
        <v>912</v>
      </c>
      <c r="J92" s="129" t="str">
        <f t="shared" si="14"/>
        <v>Satin Natural w/Accent</v>
      </c>
      <c r="K92" s="129"/>
      <c r="L92" s="129"/>
      <c r="O92" s="13"/>
      <c r="P92" s="12"/>
      <c r="Q92" s="129"/>
      <c r="X92" s="14"/>
      <c r="Y92" s="13"/>
      <c r="Z92" s="129"/>
      <c r="AD92" s="144"/>
      <c r="AE92" s="15"/>
      <c r="AF92" s="15"/>
      <c r="AG92" s="129"/>
      <c r="AO92" s="14" t="s">
        <v>561</v>
      </c>
      <c r="AP92" s="12" t="s">
        <v>58</v>
      </c>
      <c r="AQ92" s="14" t="s">
        <v>22</v>
      </c>
      <c r="AR92" s="12" t="s">
        <v>952</v>
      </c>
      <c r="AS92" s="129" t="s">
        <v>1342</v>
      </c>
      <c r="AW92" s="16"/>
      <c r="AX92" s="12"/>
      <c r="AY92" s="77"/>
      <c r="AZ92" s="129"/>
      <c r="BN92" s="154" t="str">
        <f t="shared" si="11"/>
        <v>LT</v>
      </c>
      <c r="BO92" s="12" t="s">
        <v>134</v>
      </c>
      <c r="BP92" s="12" t="s">
        <v>996</v>
      </c>
      <c r="BQ92" s="244" t="str">
        <f t="shared" si="12"/>
        <v>{[7_8T]:[BE03]}</v>
      </c>
      <c r="BR92" s="42" t="str">
        <f t="shared" si="13"/>
        <v>Remo Clear Emp Batter</v>
      </c>
      <c r="CC92" s="9" t="s">
        <v>70</v>
      </c>
      <c r="CD92" s="12" t="s">
        <v>206</v>
      </c>
      <c r="CE92" s="12" t="s">
        <v>995</v>
      </c>
      <c r="CF92" s="244" t="s">
        <v>1442</v>
      </c>
      <c r="CG92" s="42" t="s">
        <v>1416</v>
      </c>
    </row>
    <row r="93" spans="7:85" x14ac:dyDescent="0.3">
      <c r="G93" s="12" t="s">
        <v>19</v>
      </c>
      <c r="H93" s="12" t="s">
        <v>333</v>
      </c>
      <c r="I93" s="12" t="s">
        <v>313</v>
      </c>
      <c r="J93" s="129" t="str">
        <f t="shared" si="14"/>
        <v>Sable Black</v>
      </c>
      <c r="K93" s="129"/>
      <c r="L93" s="129"/>
      <c r="O93" s="13"/>
      <c r="P93" s="12"/>
      <c r="Q93" s="129"/>
      <c r="X93" s="14"/>
      <c r="Y93" s="13"/>
      <c r="Z93" s="129"/>
      <c r="AD93" s="144"/>
      <c r="AE93" s="15"/>
      <c r="AF93" s="15"/>
      <c r="AG93" s="129"/>
      <c r="AO93" s="14" t="s">
        <v>561</v>
      </c>
      <c r="AP93" s="12" t="s">
        <v>58</v>
      </c>
      <c r="AQ93" s="14" t="s">
        <v>22</v>
      </c>
      <c r="AR93" s="12" t="s">
        <v>946</v>
      </c>
      <c r="AS93" s="129" t="s">
        <v>1339</v>
      </c>
      <c r="AW93" s="16"/>
      <c r="AX93" s="12"/>
      <c r="AY93" s="77"/>
      <c r="AZ93" s="129"/>
      <c r="BN93" s="154" t="str">
        <f t="shared" si="11"/>
        <v>LT</v>
      </c>
      <c r="BO93" s="12" t="s">
        <v>136</v>
      </c>
      <c r="BP93" s="12" t="s">
        <v>996</v>
      </c>
      <c r="BQ93" s="244" t="str">
        <f t="shared" si="12"/>
        <v>{[8_8T]:[BE03]}</v>
      </c>
      <c r="BR93" s="42" t="str">
        <f t="shared" si="13"/>
        <v>Remo Clear Emp Batter</v>
      </c>
      <c r="CC93" s="9" t="s">
        <v>70</v>
      </c>
      <c r="CD93" s="12" t="s">
        <v>132</v>
      </c>
      <c r="CE93" s="12" t="s">
        <v>995</v>
      </c>
      <c r="CF93" s="244" t="s">
        <v>1443</v>
      </c>
      <c r="CG93" s="42" t="s">
        <v>1416</v>
      </c>
    </row>
    <row r="94" spans="7:85" x14ac:dyDescent="0.3">
      <c r="G94" s="12" t="s">
        <v>15</v>
      </c>
      <c r="H94" s="12" t="s">
        <v>204</v>
      </c>
      <c r="I94" s="12" t="s">
        <v>902</v>
      </c>
      <c r="J94" s="129" t="str">
        <f t="shared" si="14"/>
        <v>Satin Sable w/Inlay</v>
      </c>
      <c r="K94" s="129"/>
      <c r="L94" s="129"/>
      <c r="O94" s="13"/>
      <c r="P94" s="12"/>
      <c r="Q94" s="129"/>
      <c r="X94" s="14"/>
      <c r="Y94" s="13"/>
      <c r="Z94" s="129"/>
      <c r="AD94" s="144"/>
      <c r="AE94" s="13"/>
      <c r="AF94" s="13"/>
      <c r="AG94" s="129"/>
      <c r="AO94" s="14" t="s">
        <v>561</v>
      </c>
      <c r="AP94" s="12" t="s">
        <v>58</v>
      </c>
      <c r="AQ94" s="14" t="s">
        <v>22</v>
      </c>
      <c r="AR94" s="12" t="s">
        <v>950</v>
      </c>
      <c r="AS94" s="129" t="s">
        <v>1341</v>
      </c>
      <c r="AW94" s="12"/>
      <c r="AX94" s="12"/>
      <c r="AY94" s="12"/>
      <c r="AZ94" s="129"/>
      <c r="BN94" s="154" t="str">
        <f t="shared" si="11"/>
        <v>LT</v>
      </c>
      <c r="BO94" s="12" t="s">
        <v>137</v>
      </c>
      <c r="BP94" s="12" t="s">
        <v>996</v>
      </c>
      <c r="BQ94" s="244" t="str">
        <f t="shared" si="12"/>
        <v>{[7_10T]:[BE03]}</v>
      </c>
      <c r="BR94" s="42" t="str">
        <f t="shared" si="13"/>
        <v>Remo Clear Emp Batter</v>
      </c>
      <c r="CC94" s="9" t="s">
        <v>70</v>
      </c>
      <c r="CD94" s="12" t="s">
        <v>133</v>
      </c>
      <c r="CE94" s="12" t="s">
        <v>995</v>
      </c>
      <c r="CF94" s="244" t="s">
        <v>1444</v>
      </c>
      <c r="CG94" s="42" t="s">
        <v>1416</v>
      </c>
    </row>
    <row r="95" spans="7:85" x14ac:dyDescent="0.3">
      <c r="G95" s="12" t="s">
        <v>15</v>
      </c>
      <c r="H95" s="12" t="s">
        <v>204</v>
      </c>
      <c r="I95" s="12" t="s">
        <v>904</v>
      </c>
      <c r="J95" s="129" t="str">
        <f t="shared" si="14"/>
        <v>Satin Natural w/Inlay</v>
      </c>
      <c r="K95" s="129"/>
      <c r="L95" s="129"/>
      <c r="O95" s="13"/>
      <c r="P95" s="12"/>
      <c r="Q95" s="129"/>
      <c r="X95" s="14"/>
      <c r="Y95" s="13"/>
      <c r="Z95" s="129"/>
      <c r="AD95" s="144"/>
      <c r="AE95" s="13"/>
      <c r="AF95" s="13"/>
      <c r="AG95" s="129"/>
      <c r="AO95" s="14" t="s">
        <v>561</v>
      </c>
      <c r="AP95" s="12" t="s">
        <v>58</v>
      </c>
      <c r="AQ95" s="14" t="s">
        <v>22</v>
      </c>
      <c r="AR95" s="12" t="s">
        <v>954</v>
      </c>
      <c r="AS95" s="129" t="s">
        <v>1343</v>
      </c>
      <c r="AW95" s="12"/>
      <c r="AX95" s="12"/>
      <c r="AY95" s="12"/>
      <c r="AZ95" s="129"/>
      <c r="BN95" s="154" t="str">
        <f t="shared" si="11"/>
        <v>LT</v>
      </c>
      <c r="BO95" s="12" t="s">
        <v>138</v>
      </c>
      <c r="BP95" s="12" t="s">
        <v>996</v>
      </c>
      <c r="BQ95" s="244" t="str">
        <f t="shared" si="12"/>
        <v>{[7H_10T]:[BE03]}</v>
      </c>
      <c r="BR95" s="42" t="str">
        <f t="shared" si="13"/>
        <v>Remo Clear Emp Batter</v>
      </c>
      <c r="CC95" s="9" t="s">
        <v>70</v>
      </c>
      <c r="CD95" s="12" t="s">
        <v>207</v>
      </c>
      <c r="CE95" s="12" t="s">
        <v>995</v>
      </c>
      <c r="CF95" s="244" t="s">
        <v>1445</v>
      </c>
      <c r="CG95" s="42" t="s">
        <v>1416</v>
      </c>
    </row>
    <row r="96" spans="7:85" x14ac:dyDescent="0.3">
      <c r="G96" s="12" t="s">
        <v>15</v>
      </c>
      <c r="H96" s="12" t="s">
        <v>204</v>
      </c>
      <c r="I96" s="12" t="s">
        <v>26</v>
      </c>
      <c r="J96" s="129" t="str">
        <f t="shared" si="14"/>
        <v>Satin Sable</v>
      </c>
      <c r="K96" s="129"/>
      <c r="L96" s="129"/>
      <c r="O96" s="13"/>
      <c r="P96" s="12"/>
      <c r="Q96" s="129"/>
      <c r="X96" s="14"/>
      <c r="Y96" s="13"/>
      <c r="Z96" s="129"/>
      <c r="AD96" s="144"/>
      <c r="AE96" s="15"/>
      <c r="AF96" s="15"/>
      <c r="AG96" s="129"/>
      <c r="AO96" s="14" t="s">
        <v>561</v>
      </c>
      <c r="AP96" s="12" t="s">
        <v>71</v>
      </c>
      <c r="AQ96" s="14" t="s">
        <v>518</v>
      </c>
      <c r="AR96" s="12" t="s">
        <v>952</v>
      </c>
      <c r="AS96" s="129" t="s">
        <v>1342</v>
      </c>
      <c r="AW96" s="12"/>
      <c r="AX96" s="12"/>
      <c r="AY96" s="12"/>
      <c r="AZ96" s="129"/>
      <c r="BN96" s="154" t="str">
        <f t="shared" si="11"/>
        <v>LT</v>
      </c>
      <c r="BO96" s="12" t="s">
        <v>139</v>
      </c>
      <c r="BP96" s="12" t="s">
        <v>996</v>
      </c>
      <c r="BQ96" s="244" t="str">
        <f t="shared" si="12"/>
        <v>{[8_10T]:[BE03]}</v>
      </c>
      <c r="BR96" s="42" t="str">
        <f t="shared" si="13"/>
        <v>Remo Clear Emp Batter</v>
      </c>
      <c r="CC96" s="9" t="s">
        <v>70</v>
      </c>
      <c r="CD96" s="12" t="s">
        <v>134</v>
      </c>
      <c r="CE96" s="12" t="s">
        <v>995</v>
      </c>
      <c r="CF96" s="244" t="s">
        <v>1446</v>
      </c>
      <c r="CG96" s="42" t="s">
        <v>1416</v>
      </c>
    </row>
    <row r="97" spans="7:85" x14ac:dyDescent="0.3">
      <c r="G97" s="12" t="s">
        <v>15</v>
      </c>
      <c r="H97" s="12" t="s">
        <v>204</v>
      </c>
      <c r="I97" s="12" t="s">
        <v>914</v>
      </c>
      <c r="J97" s="129" t="str">
        <f t="shared" si="14"/>
        <v>Satin Sable w/Accent</v>
      </c>
      <c r="K97" s="129"/>
      <c r="L97" s="129"/>
      <c r="O97" s="13"/>
      <c r="P97" s="12"/>
      <c r="Q97" s="129"/>
      <c r="X97" s="14"/>
      <c r="Y97" s="15"/>
      <c r="Z97" s="129"/>
      <c r="AD97" s="144"/>
      <c r="AE97" s="13"/>
      <c r="AF97" s="13"/>
      <c r="AG97" s="129"/>
      <c r="AO97" s="14" t="s">
        <v>561</v>
      </c>
      <c r="AP97" s="12" t="s">
        <v>71</v>
      </c>
      <c r="AQ97" s="14" t="s">
        <v>518</v>
      </c>
      <c r="AR97" s="12" t="s">
        <v>948</v>
      </c>
      <c r="AS97" s="129" t="s">
        <v>1340</v>
      </c>
      <c r="AW97" s="16"/>
      <c r="AX97" s="12"/>
      <c r="AY97" s="77"/>
      <c r="AZ97" s="129"/>
      <c r="BN97" s="154" t="str">
        <f t="shared" si="11"/>
        <v>LT</v>
      </c>
      <c r="BO97" s="12" t="s">
        <v>140</v>
      </c>
      <c r="BP97" s="12" t="s">
        <v>996</v>
      </c>
      <c r="BQ97" s="244" t="str">
        <f t="shared" si="12"/>
        <v>{[9_10T]:[BE03]}</v>
      </c>
      <c r="BR97" s="42" t="str">
        <f t="shared" si="13"/>
        <v>Remo Clear Emp Batter</v>
      </c>
      <c r="CC97" s="9" t="s">
        <v>70</v>
      </c>
      <c r="CD97" s="12" t="s">
        <v>136</v>
      </c>
      <c r="CE97" s="12" t="s">
        <v>995</v>
      </c>
      <c r="CF97" s="244" t="s">
        <v>1447</v>
      </c>
      <c r="CG97" s="42" t="s">
        <v>1416</v>
      </c>
    </row>
    <row r="98" spans="7:85" x14ac:dyDescent="0.3">
      <c r="G98" s="12" t="s">
        <v>15</v>
      </c>
      <c r="H98" s="12" t="s">
        <v>204</v>
      </c>
      <c r="I98" s="12" t="s">
        <v>321</v>
      </c>
      <c r="J98" s="129" t="str">
        <f t="shared" si="14"/>
        <v>Satin Natural</v>
      </c>
      <c r="K98" s="129"/>
      <c r="L98" s="129"/>
      <c r="O98" s="13"/>
      <c r="P98" s="12"/>
      <c r="Q98" s="129"/>
      <c r="X98" s="14"/>
      <c r="Y98" s="13"/>
      <c r="Z98" s="129"/>
      <c r="AD98" s="144"/>
      <c r="AE98" s="13"/>
      <c r="AF98" s="13"/>
      <c r="AG98" s="129"/>
      <c r="AO98" s="14" t="s">
        <v>561</v>
      </c>
      <c r="AP98" s="12" t="s">
        <v>71</v>
      </c>
      <c r="AQ98" s="14" t="s">
        <v>518</v>
      </c>
      <c r="AR98" s="12" t="s">
        <v>946</v>
      </c>
      <c r="AS98" s="129" t="s">
        <v>1339</v>
      </c>
      <c r="AW98" s="16"/>
      <c r="AX98" s="12"/>
      <c r="AY98" s="77"/>
      <c r="AZ98" s="129"/>
      <c r="BN98" s="154" t="str">
        <f t="shared" si="11"/>
        <v>LT</v>
      </c>
      <c r="BO98" s="12" t="s">
        <v>144</v>
      </c>
      <c r="BP98" s="12" t="s">
        <v>996</v>
      </c>
      <c r="BQ98" s="244" t="str">
        <f t="shared" si="12"/>
        <v>{[10_12T]:[BE03]}</v>
      </c>
      <c r="BR98" s="42" t="str">
        <f t="shared" si="13"/>
        <v>Remo Clear Emp Batter</v>
      </c>
      <c r="CB98" s="116"/>
      <c r="CC98" s="9" t="s">
        <v>70</v>
      </c>
      <c r="CD98" s="12" t="s">
        <v>137</v>
      </c>
      <c r="CE98" s="12" t="s">
        <v>995</v>
      </c>
      <c r="CF98" s="244" t="s">
        <v>1448</v>
      </c>
      <c r="CG98" s="42" t="s">
        <v>1416</v>
      </c>
    </row>
    <row r="99" spans="7:85" x14ac:dyDescent="0.3">
      <c r="G99" s="12" t="s">
        <v>15</v>
      </c>
      <c r="H99" s="12" t="s">
        <v>204</v>
      </c>
      <c r="I99" s="12" t="s">
        <v>912</v>
      </c>
      <c r="J99" s="129" t="str">
        <f t="shared" si="14"/>
        <v>Satin Natural w/Accent</v>
      </c>
      <c r="K99" s="129"/>
      <c r="L99" s="129"/>
      <c r="O99" s="15"/>
      <c r="P99" s="12"/>
      <c r="Q99" s="129"/>
      <c r="X99" s="14"/>
      <c r="Y99" s="13"/>
      <c r="Z99" s="129"/>
      <c r="AD99" s="144"/>
      <c r="AE99" s="13"/>
      <c r="AF99" s="13"/>
      <c r="AG99" s="129"/>
      <c r="AO99" s="14" t="s">
        <v>561</v>
      </c>
      <c r="AP99" s="12" t="s">
        <v>71</v>
      </c>
      <c r="AQ99" s="14" t="s">
        <v>518</v>
      </c>
      <c r="AR99" s="12" t="s">
        <v>950</v>
      </c>
      <c r="AS99" s="129" t="s">
        <v>1341</v>
      </c>
      <c r="AW99" s="12"/>
      <c r="AX99" s="12"/>
      <c r="AY99" s="12"/>
      <c r="AZ99" s="129"/>
      <c r="BN99" s="154" t="str">
        <f t="shared" si="11"/>
        <v>LT</v>
      </c>
      <c r="BO99" s="12" t="s">
        <v>146</v>
      </c>
      <c r="BP99" s="12" t="s">
        <v>996</v>
      </c>
      <c r="BQ99" s="244" t="str">
        <f t="shared" si="12"/>
        <v>{[11_12T]:[BE03]}</v>
      </c>
      <c r="BR99" s="42" t="str">
        <f t="shared" si="13"/>
        <v>Remo Clear Emp Batter</v>
      </c>
      <c r="CB99" s="116"/>
      <c r="CC99" s="9" t="s">
        <v>70</v>
      </c>
      <c r="CD99" s="12" t="s">
        <v>138</v>
      </c>
      <c r="CE99" s="12" t="s">
        <v>995</v>
      </c>
      <c r="CF99" s="244" t="s">
        <v>1449</v>
      </c>
      <c r="CG99" s="42" t="s">
        <v>1416</v>
      </c>
    </row>
    <row r="100" spans="7:85" x14ac:dyDescent="0.3">
      <c r="G100" s="12" t="s">
        <v>15</v>
      </c>
      <c r="H100" s="12" t="s">
        <v>204</v>
      </c>
      <c r="I100" s="12" t="s">
        <v>309</v>
      </c>
      <c r="J100" s="129" t="str">
        <f t="shared" si="14"/>
        <v>Natural Hoop</v>
      </c>
      <c r="K100" s="129"/>
      <c r="L100" s="129"/>
      <c r="O100" s="15"/>
      <c r="P100" s="12"/>
      <c r="Q100" s="129"/>
      <c r="X100" s="14"/>
      <c r="Y100" s="13"/>
      <c r="Z100" s="129"/>
      <c r="AD100" s="144"/>
      <c r="AE100" s="13"/>
      <c r="AF100" s="13"/>
      <c r="AG100" s="129"/>
      <c r="AO100" s="14" t="s">
        <v>561</v>
      </c>
      <c r="AP100" s="12" t="s">
        <v>71</v>
      </c>
      <c r="AQ100" s="14" t="s">
        <v>518</v>
      </c>
      <c r="AR100" s="12" t="s">
        <v>954</v>
      </c>
      <c r="AS100" s="129" t="s">
        <v>1343</v>
      </c>
      <c r="AW100" s="12"/>
      <c r="AX100" s="12"/>
      <c r="AY100" s="12"/>
      <c r="AZ100" s="129"/>
      <c r="BN100" s="154" t="str">
        <f t="shared" si="11"/>
        <v>LT</v>
      </c>
      <c r="BO100" s="12" t="s">
        <v>141</v>
      </c>
      <c r="BP100" s="12" t="s">
        <v>996</v>
      </c>
      <c r="BQ100" s="244" t="str">
        <f t="shared" si="12"/>
        <v>{[8_12T]:[BE03]}</v>
      </c>
      <c r="BR100" s="42" t="str">
        <f t="shared" si="13"/>
        <v>Remo Clear Emp Batter</v>
      </c>
      <c r="CB100" s="116"/>
      <c r="CC100" s="9" t="s">
        <v>70</v>
      </c>
      <c r="CD100" s="12" t="s">
        <v>139</v>
      </c>
      <c r="CE100" s="12" t="s">
        <v>995</v>
      </c>
      <c r="CF100" s="244" t="s">
        <v>1450</v>
      </c>
      <c r="CG100" s="42" t="s">
        <v>1416</v>
      </c>
    </row>
    <row r="101" spans="7:85" x14ac:dyDescent="0.3">
      <c r="G101" s="12" t="s">
        <v>15</v>
      </c>
      <c r="H101" s="12" t="s">
        <v>204</v>
      </c>
      <c r="I101" s="12" t="s">
        <v>907</v>
      </c>
      <c r="J101" s="129" t="str">
        <f t="shared" si="14"/>
        <v>Natural w/Inlay</v>
      </c>
      <c r="K101" s="129"/>
      <c r="L101" s="129"/>
      <c r="O101" s="15"/>
      <c r="P101" s="12"/>
      <c r="Q101" s="129"/>
      <c r="X101" s="14"/>
      <c r="Y101" s="13"/>
      <c r="Z101" s="129"/>
      <c r="AD101" s="144"/>
      <c r="AE101" s="13"/>
      <c r="AF101" s="13"/>
      <c r="AG101" s="129"/>
      <c r="AO101" s="40" t="s">
        <v>561</v>
      </c>
      <c r="AP101" s="16" t="s">
        <v>71</v>
      </c>
      <c r="AQ101" s="16" t="s">
        <v>23</v>
      </c>
      <c r="AR101" s="16" t="s">
        <v>946</v>
      </c>
      <c r="AS101" s="129" t="s">
        <v>1339</v>
      </c>
      <c r="AW101" s="12"/>
      <c r="AX101" s="12"/>
      <c r="AY101" s="12"/>
      <c r="AZ101" s="129"/>
      <c r="BN101" s="154" t="str">
        <f t="shared" si="11"/>
        <v>LT</v>
      </c>
      <c r="BO101" s="12" t="s">
        <v>143</v>
      </c>
      <c r="BP101" s="12" t="s">
        <v>996</v>
      </c>
      <c r="BQ101" s="244" t="str">
        <f t="shared" si="12"/>
        <v>{[9_12T]:[BE03]}</v>
      </c>
      <c r="BR101" s="42" t="str">
        <f t="shared" si="13"/>
        <v>Remo Clear Emp Batter</v>
      </c>
      <c r="CB101" s="116"/>
      <c r="CC101" s="9" t="s">
        <v>70</v>
      </c>
      <c r="CD101" s="12" t="s">
        <v>140</v>
      </c>
      <c r="CE101" s="12" t="s">
        <v>995</v>
      </c>
      <c r="CF101" s="244" t="s">
        <v>1451</v>
      </c>
      <c r="CG101" s="42" t="s">
        <v>1416</v>
      </c>
    </row>
    <row r="102" spans="7:85" x14ac:dyDescent="0.3">
      <c r="G102" s="12" t="s">
        <v>15</v>
      </c>
      <c r="H102" s="12" t="s">
        <v>204</v>
      </c>
      <c r="I102" s="12" t="s">
        <v>909</v>
      </c>
      <c r="J102" s="129" t="str">
        <f t="shared" si="14"/>
        <v>Natural w/Accent</v>
      </c>
      <c r="K102" s="129"/>
      <c r="L102" s="129"/>
      <c r="O102" s="15"/>
      <c r="P102" s="12"/>
      <c r="Q102" s="129"/>
      <c r="X102" s="14"/>
      <c r="Y102" s="13"/>
      <c r="Z102" s="129"/>
      <c r="AD102" s="144"/>
      <c r="AE102" s="13"/>
      <c r="AF102" s="13"/>
      <c r="AG102" s="129"/>
      <c r="AO102" s="14" t="s">
        <v>561</v>
      </c>
      <c r="AP102" s="12" t="s">
        <v>71</v>
      </c>
      <c r="AQ102" s="12" t="s">
        <v>23</v>
      </c>
      <c r="AR102" s="12" t="s">
        <v>950</v>
      </c>
      <c r="AS102" s="129" t="s">
        <v>1341</v>
      </c>
      <c r="AW102" s="16"/>
      <c r="AX102" s="12"/>
      <c r="AY102" s="77"/>
      <c r="AZ102" s="129"/>
      <c r="BN102" s="154" t="str">
        <f t="shared" si="11"/>
        <v>LT</v>
      </c>
      <c r="BO102" s="12" t="s">
        <v>148</v>
      </c>
      <c r="BP102" s="12" t="s">
        <v>996</v>
      </c>
      <c r="BQ102" s="244" t="str">
        <f t="shared" si="12"/>
        <v>{[10_13T]:[BE03]}</v>
      </c>
      <c r="BR102" s="42" t="str">
        <f t="shared" si="13"/>
        <v>Remo Clear Emp Batter</v>
      </c>
      <c r="CB102" s="116"/>
      <c r="CC102" s="9" t="s">
        <v>70</v>
      </c>
      <c r="CD102" s="12" t="s">
        <v>141</v>
      </c>
      <c r="CE102" s="12" t="s">
        <v>995</v>
      </c>
      <c r="CF102" s="244" t="s">
        <v>1452</v>
      </c>
      <c r="CG102" s="42" t="s">
        <v>1416</v>
      </c>
    </row>
    <row r="103" spans="7:85" x14ac:dyDescent="0.3">
      <c r="G103" s="12" t="s">
        <v>15</v>
      </c>
      <c r="H103" s="12" t="s">
        <v>204</v>
      </c>
      <c r="I103" s="12" t="s">
        <v>313</v>
      </c>
      <c r="J103" s="129" t="str">
        <f t="shared" si="14"/>
        <v>Sable Black</v>
      </c>
      <c r="K103" s="129"/>
      <c r="L103" s="129"/>
      <c r="O103" s="13"/>
      <c r="P103" s="12"/>
      <c r="Q103" s="129"/>
      <c r="X103" s="14"/>
      <c r="Y103" s="13"/>
      <c r="Z103" s="129"/>
      <c r="AD103" s="144"/>
      <c r="AE103" s="13"/>
      <c r="AF103" s="13"/>
      <c r="AG103" s="129"/>
      <c r="AO103" s="14" t="s">
        <v>561</v>
      </c>
      <c r="AP103" s="12" t="s">
        <v>71</v>
      </c>
      <c r="AQ103" s="12" t="s">
        <v>23</v>
      </c>
      <c r="AR103" s="12" t="s">
        <v>954</v>
      </c>
      <c r="AS103" s="129" t="s">
        <v>1343</v>
      </c>
      <c r="AW103" s="16"/>
      <c r="AX103" s="12"/>
      <c r="AY103" s="77"/>
      <c r="AZ103" s="129"/>
      <c r="BN103" s="154" t="str">
        <f t="shared" si="11"/>
        <v>LT</v>
      </c>
      <c r="BO103" s="12" t="s">
        <v>149</v>
      </c>
      <c r="BP103" s="12" t="s">
        <v>996</v>
      </c>
      <c r="BQ103" s="244" t="str">
        <f t="shared" si="12"/>
        <v>{[11_13T]:[BE03]}</v>
      </c>
      <c r="BR103" s="42" t="str">
        <f t="shared" si="13"/>
        <v>Remo Clear Emp Batter</v>
      </c>
      <c r="CB103" s="116"/>
      <c r="CC103" s="9" t="s">
        <v>70</v>
      </c>
      <c r="CD103" s="12" t="s">
        <v>143</v>
      </c>
      <c r="CE103" s="12" t="s">
        <v>995</v>
      </c>
      <c r="CF103" s="244" t="s">
        <v>1453</v>
      </c>
      <c r="CG103" s="42" t="s">
        <v>1416</v>
      </c>
    </row>
    <row r="104" spans="7:85" x14ac:dyDescent="0.3">
      <c r="G104" s="12" t="s">
        <v>16</v>
      </c>
      <c r="H104" s="12" t="s">
        <v>204</v>
      </c>
      <c r="I104" s="12" t="s">
        <v>902</v>
      </c>
      <c r="J104" s="129" t="str">
        <f t="shared" si="14"/>
        <v>Satin Sable w/Inlay</v>
      </c>
      <c r="K104" s="129"/>
      <c r="L104" s="129"/>
      <c r="O104" s="13"/>
      <c r="P104" s="12"/>
      <c r="Q104" s="129"/>
      <c r="X104" s="14"/>
      <c r="Y104" s="13"/>
      <c r="Z104" s="129"/>
      <c r="AD104" s="144"/>
      <c r="AE104" s="15"/>
      <c r="AF104" s="15"/>
      <c r="AG104" s="129"/>
      <c r="AO104" s="14" t="s">
        <v>561</v>
      </c>
      <c r="AP104" s="12" t="s">
        <v>71</v>
      </c>
      <c r="AQ104" s="14" t="s">
        <v>16</v>
      </c>
      <c r="AR104" s="12" t="s">
        <v>948</v>
      </c>
      <c r="AS104" s="129" t="s">
        <v>1340</v>
      </c>
      <c r="AW104" s="12"/>
      <c r="AX104" s="12"/>
      <c r="AY104" s="12"/>
      <c r="AZ104" s="129"/>
      <c r="BN104" s="154" t="str">
        <f t="shared" si="11"/>
        <v>LT</v>
      </c>
      <c r="BO104" s="12" t="s">
        <v>150</v>
      </c>
      <c r="BP104" s="12" t="s">
        <v>996</v>
      </c>
      <c r="BQ104" s="244" t="str">
        <f t="shared" si="12"/>
        <v>{[12_13T]:[BE03]}</v>
      </c>
      <c r="BR104" s="42" t="str">
        <f t="shared" si="13"/>
        <v>Remo Clear Emp Batter</v>
      </c>
      <c r="CB104" s="116"/>
      <c r="CC104" s="9" t="s">
        <v>70</v>
      </c>
      <c r="CD104" s="12" t="s">
        <v>144</v>
      </c>
      <c r="CE104" s="12" t="s">
        <v>995</v>
      </c>
      <c r="CF104" s="244" t="s">
        <v>1454</v>
      </c>
      <c r="CG104" s="42" t="s">
        <v>1416</v>
      </c>
    </row>
    <row r="105" spans="7:85" x14ac:dyDescent="0.3">
      <c r="G105" s="12" t="s">
        <v>16</v>
      </c>
      <c r="H105" s="12" t="s">
        <v>204</v>
      </c>
      <c r="I105" s="12" t="s">
        <v>904</v>
      </c>
      <c r="J105" s="129" t="str">
        <f t="shared" si="14"/>
        <v>Satin Natural w/Inlay</v>
      </c>
      <c r="K105" s="129"/>
      <c r="L105" s="129"/>
      <c r="O105" s="15"/>
      <c r="P105" s="12"/>
      <c r="Q105" s="129"/>
      <c r="X105" s="14"/>
      <c r="Y105" s="13"/>
      <c r="Z105" s="129"/>
      <c r="AD105" s="144"/>
      <c r="AE105" s="13"/>
      <c r="AF105" s="13"/>
      <c r="AG105" s="129"/>
      <c r="AO105" s="14" t="s">
        <v>561</v>
      </c>
      <c r="AP105" s="12" t="s">
        <v>71</v>
      </c>
      <c r="AQ105" s="14" t="s">
        <v>16</v>
      </c>
      <c r="AR105" s="12" t="s">
        <v>946</v>
      </c>
      <c r="AS105" s="129" t="s">
        <v>1339</v>
      </c>
      <c r="AW105" s="12"/>
      <c r="AX105" s="12"/>
      <c r="AY105" s="12"/>
      <c r="AZ105" s="129"/>
      <c r="BN105" s="154" t="str">
        <f t="shared" si="11"/>
        <v>LT</v>
      </c>
      <c r="BO105" s="12" t="s">
        <v>147</v>
      </c>
      <c r="BP105" s="12" t="s">
        <v>996</v>
      </c>
      <c r="BQ105" s="244" t="str">
        <f t="shared" si="12"/>
        <v>{[9_13T]:[BE03]}</v>
      </c>
      <c r="BR105" s="42" t="str">
        <f t="shared" si="13"/>
        <v>Remo Clear Emp Batter</v>
      </c>
      <c r="CB105" s="116"/>
      <c r="CC105" s="9" t="s">
        <v>70</v>
      </c>
      <c r="CD105" s="12" t="s">
        <v>146</v>
      </c>
      <c r="CE105" s="12" t="s">
        <v>995</v>
      </c>
      <c r="CF105" s="244" t="s">
        <v>1455</v>
      </c>
      <c r="CG105" s="42" t="s">
        <v>1416</v>
      </c>
    </row>
    <row r="106" spans="7:85" x14ac:dyDescent="0.3">
      <c r="G106" s="12" t="s">
        <v>16</v>
      </c>
      <c r="H106" s="12" t="s">
        <v>204</v>
      </c>
      <c r="I106" s="12" t="s">
        <v>26</v>
      </c>
      <c r="J106" s="129" t="str">
        <f t="shared" si="14"/>
        <v>Satin Sable</v>
      </c>
      <c r="K106" s="129"/>
      <c r="L106" s="129"/>
      <c r="O106" s="13"/>
      <c r="P106" s="12"/>
      <c r="Q106" s="129"/>
      <c r="X106" s="14"/>
      <c r="Y106" s="13"/>
      <c r="Z106" s="129"/>
      <c r="AD106" s="144"/>
      <c r="AE106" s="12"/>
      <c r="AF106" s="12"/>
      <c r="AG106" s="129"/>
      <c r="AO106" s="14" t="s">
        <v>561</v>
      </c>
      <c r="AP106" s="12" t="s">
        <v>71</v>
      </c>
      <c r="AQ106" s="14" t="s">
        <v>16</v>
      </c>
      <c r="AR106" s="12" t="s">
        <v>950</v>
      </c>
      <c r="AS106" s="129" t="s">
        <v>1341</v>
      </c>
      <c r="AW106" s="12"/>
      <c r="AX106" s="12"/>
      <c r="AY106" s="12"/>
      <c r="AZ106" s="129"/>
      <c r="BN106" s="154" t="str">
        <f t="shared" si="11"/>
        <v>LT</v>
      </c>
      <c r="BO106" s="12" t="s">
        <v>157</v>
      </c>
      <c r="BP106" s="12" t="s">
        <v>996</v>
      </c>
      <c r="BQ106" s="244" t="str">
        <f t="shared" si="12"/>
        <v>{[10_14T]:[BE03]}</v>
      </c>
      <c r="BR106" s="42" t="str">
        <f t="shared" si="13"/>
        <v>Remo Clear Emp Batter</v>
      </c>
      <c r="CB106" s="116"/>
      <c r="CC106" s="9" t="s">
        <v>70</v>
      </c>
      <c r="CD106" s="12" t="s">
        <v>147</v>
      </c>
      <c r="CE106" s="12" t="s">
        <v>995</v>
      </c>
      <c r="CF106" s="244" t="s">
        <v>1456</v>
      </c>
      <c r="CG106" s="42" t="s">
        <v>1416</v>
      </c>
    </row>
    <row r="107" spans="7:85" x14ac:dyDescent="0.3">
      <c r="G107" s="12" t="s">
        <v>16</v>
      </c>
      <c r="H107" s="12" t="s">
        <v>204</v>
      </c>
      <c r="I107" s="12" t="s">
        <v>914</v>
      </c>
      <c r="J107" s="129" t="str">
        <f t="shared" si="14"/>
        <v>Satin Sable w/Accent</v>
      </c>
      <c r="K107" s="129"/>
      <c r="L107" s="129"/>
      <c r="O107" s="13"/>
      <c r="P107" s="12"/>
      <c r="Q107" s="129"/>
      <c r="X107" s="14"/>
      <c r="Y107" s="13"/>
      <c r="Z107" s="129"/>
      <c r="AD107" s="144"/>
      <c r="AE107" s="15"/>
      <c r="AF107" s="15"/>
      <c r="AG107" s="129"/>
      <c r="AO107" s="14" t="s">
        <v>561</v>
      </c>
      <c r="AP107" s="12" t="s">
        <v>71</v>
      </c>
      <c r="AQ107" s="14" t="s">
        <v>16</v>
      </c>
      <c r="AR107" s="12" t="s">
        <v>954</v>
      </c>
      <c r="AS107" s="129" t="s">
        <v>1343</v>
      </c>
      <c r="AW107" s="16"/>
      <c r="AX107" s="12"/>
      <c r="AY107" s="77"/>
      <c r="AZ107" s="129"/>
      <c r="BN107" s="154" t="str">
        <f t="shared" si="11"/>
        <v>LT</v>
      </c>
      <c r="BO107" s="12" t="s">
        <v>163</v>
      </c>
      <c r="BP107" s="12" t="s">
        <v>996</v>
      </c>
      <c r="BQ107" s="244" t="str">
        <f t="shared" si="12"/>
        <v>{[11_14T]:[BE03]}</v>
      </c>
      <c r="BR107" s="42" t="str">
        <f t="shared" si="13"/>
        <v>Remo Clear Emp Batter</v>
      </c>
      <c r="CB107" s="116"/>
      <c r="CC107" s="9" t="s">
        <v>70</v>
      </c>
      <c r="CD107" s="12" t="s">
        <v>148</v>
      </c>
      <c r="CE107" s="12" t="s">
        <v>995</v>
      </c>
      <c r="CF107" s="244" t="s">
        <v>1457</v>
      </c>
      <c r="CG107" s="42" t="s">
        <v>1416</v>
      </c>
    </row>
    <row r="108" spans="7:85" x14ac:dyDescent="0.3">
      <c r="G108" s="12" t="s">
        <v>16</v>
      </c>
      <c r="H108" s="12" t="s">
        <v>204</v>
      </c>
      <c r="I108" s="12" t="s">
        <v>321</v>
      </c>
      <c r="J108" s="129" t="str">
        <f t="shared" si="14"/>
        <v>Satin Natural</v>
      </c>
      <c r="K108" s="129"/>
      <c r="L108" s="129"/>
      <c r="O108" s="13"/>
      <c r="P108" s="12"/>
      <c r="Q108" s="129"/>
      <c r="X108" s="14"/>
      <c r="Y108" s="13"/>
      <c r="Z108" s="129"/>
      <c r="AD108" s="144"/>
      <c r="AE108" s="13"/>
      <c r="AF108" s="13"/>
      <c r="AG108" s="129"/>
      <c r="AO108" s="40" t="s">
        <v>561</v>
      </c>
      <c r="AP108" s="16" t="s">
        <v>71</v>
      </c>
      <c r="AQ108" s="16" t="s">
        <v>24</v>
      </c>
      <c r="AR108" s="16" t="s">
        <v>946</v>
      </c>
      <c r="AS108" s="129" t="s">
        <v>1339</v>
      </c>
      <c r="AW108" s="16"/>
      <c r="AX108" s="12"/>
      <c r="AY108" s="77"/>
      <c r="AZ108" s="129"/>
      <c r="BN108" s="154" t="str">
        <f t="shared" si="11"/>
        <v>LF</v>
      </c>
      <c r="BO108" s="12" t="s">
        <v>110</v>
      </c>
      <c r="BP108" s="12" t="s">
        <v>996</v>
      </c>
      <c r="BQ108" s="244" t="str">
        <f t="shared" si="12"/>
        <v>{[12_14F]:[BE03]}</v>
      </c>
      <c r="BR108" s="42" t="str">
        <f t="shared" si="13"/>
        <v>Remo Clear Emp Batter</v>
      </c>
      <c r="CB108" s="116"/>
      <c r="CC108" s="9" t="s">
        <v>70</v>
      </c>
      <c r="CD108" s="12" t="s">
        <v>149</v>
      </c>
      <c r="CE108" s="12" t="s">
        <v>995</v>
      </c>
      <c r="CF108" s="244" t="s">
        <v>1458</v>
      </c>
      <c r="CG108" s="42" t="s">
        <v>1416</v>
      </c>
    </row>
    <row r="109" spans="7:85" x14ac:dyDescent="0.3">
      <c r="G109" s="12" t="s">
        <v>16</v>
      </c>
      <c r="H109" s="12" t="s">
        <v>204</v>
      </c>
      <c r="I109" s="12" t="s">
        <v>912</v>
      </c>
      <c r="J109" s="129" t="str">
        <f t="shared" si="14"/>
        <v>Satin Natural w/Accent</v>
      </c>
      <c r="K109" s="129"/>
      <c r="L109" s="129"/>
      <c r="O109" s="13"/>
      <c r="P109" s="12"/>
      <c r="Q109" s="129"/>
      <c r="X109" s="14"/>
      <c r="Y109" s="13"/>
      <c r="Z109" s="129"/>
      <c r="AD109" s="144"/>
      <c r="AE109" s="15"/>
      <c r="AF109" s="15"/>
      <c r="AG109" s="129"/>
      <c r="AO109" s="14" t="s">
        <v>561</v>
      </c>
      <c r="AP109" s="12" t="s">
        <v>71</v>
      </c>
      <c r="AQ109" s="12" t="s">
        <v>24</v>
      </c>
      <c r="AR109" s="12" t="s">
        <v>950</v>
      </c>
      <c r="AS109" s="129" t="s">
        <v>1341</v>
      </c>
      <c r="AW109" s="12"/>
      <c r="AX109" s="12"/>
      <c r="AY109" s="12"/>
      <c r="AZ109" s="129"/>
      <c r="BN109" s="154" t="str">
        <f t="shared" si="11"/>
        <v>LT</v>
      </c>
      <c r="BO109" s="12" t="s">
        <v>169</v>
      </c>
      <c r="BP109" s="12" t="s">
        <v>996</v>
      </c>
      <c r="BQ109" s="244" t="str">
        <f t="shared" si="12"/>
        <v>{[12_14T]:[BE03]}</v>
      </c>
      <c r="BR109" s="42" t="str">
        <f t="shared" si="13"/>
        <v>Remo Clear Emp Batter</v>
      </c>
      <c r="CB109" s="116"/>
      <c r="CC109" s="9" t="s">
        <v>70</v>
      </c>
      <c r="CD109" s="12" t="s">
        <v>150</v>
      </c>
      <c r="CE109" s="12" t="s">
        <v>995</v>
      </c>
      <c r="CF109" s="244" t="s">
        <v>1459</v>
      </c>
      <c r="CG109" s="42" t="s">
        <v>1416</v>
      </c>
    </row>
    <row r="110" spans="7:85" x14ac:dyDescent="0.3">
      <c r="G110" s="12" t="s">
        <v>16</v>
      </c>
      <c r="H110" s="12" t="s">
        <v>204</v>
      </c>
      <c r="I110" s="12" t="s">
        <v>309</v>
      </c>
      <c r="J110" s="129" t="str">
        <f t="shared" si="14"/>
        <v>Natural Hoop</v>
      </c>
      <c r="K110" s="129"/>
      <c r="L110" s="129"/>
      <c r="O110" s="15"/>
      <c r="P110" s="12"/>
      <c r="Q110" s="129"/>
      <c r="X110" s="14"/>
      <c r="Y110" s="13"/>
      <c r="Z110" s="129"/>
      <c r="AD110" s="144"/>
      <c r="AE110" s="13"/>
      <c r="AF110" s="13"/>
      <c r="AG110" s="129"/>
      <c r="AO110" s="14" t="s">
        <v>561</v>
      </c>
      <c r="AP110" s="12" t="s">
        <v>71</v>
      </c>
      <c r="AQ110" s="12" t="s">
        <v>24</v>
      </c>
      <c r="AR110" s="12" t="s">
        <v>954</v>
      </c>
      <c r="AS110" s="129" t="s">
        <v>1343</v>
      </c>
      <c r="AW110" s="12"/>
      <c r="AX110" s="12"/>
      <c r="AY110" s="12"/>
      <c r="AZ110" s="129"/>
      <c r="BN110" s="154" t="str">
        <f t="shared" si="11"/>
        <v>LF</v>
      </c>
      <c r="BO110" s="12" t="s">
        <v>113</v>
      </c>
      <c r="BP110" s="12" t="s">
        <v>996</v>
      </c>
      <c r="BQ110" s="244" t="str">
        <f t="shared" si="12"/>
        <v>{[13_14F]:[BE03]}</v>
      </c>
      <c r="BR110" s="42" t="str">
        <f t="shared" si="13"/>
        <v>Remo Clear Emp Batter</v>
      </c>
      <c r="CB110" s="116"/>
      <c r="CC110" s="9" t="s">
        <v>70</v>
      </c>
      <c r="CD110" s="12" t="s">
        <v>151</v>
      </c>
      <c r="CE110" s="12" t="s">
        <v>995</v>
      </c>
      <c r="CF110" s="244" t="s">
        <v>1460</v>
      </c>
      <c r="CG110" s="42" t="s">
        <v>1416</v>
      </c>
    </row>
    <row r="111" spans="7:85" x14ac:dyDescent="0.3">
      <c r="G111" s="12" t="s">
        <v>16</v>
      </c>
      <c r="H111" s="12" t="s">
        <v>204</v>
      </c>
      <c r="I111" s="12" t="s">
        <v>907</v>
      </c>
      <c r="J111" s="129" t="str">
        <f t="shared" si="14"/>
        <v>Natural w/Inlay</v>
      </c>
      <c r="K111" s="129"/>
      <c r="L111" s="129"/>
      <c r="O111" s="15"/>
      <c r="P111" s="12"/>
      <c r="Q111" s="129"/>
      <c r="X111" s="14"/>
      <c r="Y111" s="13"/>
      <c r="Z111" s="129"/>
      <c r="AD111" s="144"/>
      <c r="AE111" s="15"/>
      <c r="AF111" s="15"/>
      <c r="AG111" s="129"/>
      <c r="AO111" s="14" t="s">
        <v>561</v>
      </c>
      <c r="AP111" s="12" t="s">
        <v>71</v>
      </c>
      <c r="AQ111" s="14" t="s">
        <v>22</v>
      </c>
      <c r="AR111" s="12" t="s">
        <v>952</v>
      </c>
      <c r="AS111" s="129" t="s">
        <v>1342</v>
      </c>
      <c r="AW111" s="12"/>
      <c r="AX111" s="12"/>
      <c r="AY111" s="12"/>
      <c r="AZ111" s="129"/>
      <c r="BN111" s="154" t="str">
        <f t="shared" si="11"/>
        <v>LT</v>
      </c>
      <c r="BO111" s="12" t="s">
        <v>175</v>
      </c>
      <c r="BP111" s="12" t="s">
        <v>996</v>
      </c>
      <c r="BQ111" s="244" t="str">
        <f t="shared" si="12"/>
        <v>{[13_14T]:[BE03]}</v>
      </c>
      <c r="BR111" s="42" t="str">
        <f t="shared" si="13"/>
        <v>Remo Clear Emp Batter</v>
      </c>
      <c r="CB111" s="116"/>
      <c r="CC111" s="9" t="s">
        <v>70</v>
      </c>
      <c r="CD111" s="12" t="s">
        <v>157</v>
      </c>
      <c r="CE111" s="12" t="s">
        <v>995</v>
      </c>
      <c r="CF111" s="244" t="s">
        <v>1461</v>
      </c>
      <c r="CG111" s="42" t="s">
        <v>1416</v>
      </c>
    </row>
    <row r="112" spans="7:85" x14ac:dyDescent="0.3">
      <c r="G112" s="12" t="s">
        <v>16</v>
      </c>
      <c r="H112" s="12" t="s">
        <v>204</v>
      </c>
      <c r="I112" s="12" t="s">
        <v>909</v>
      </c>
      <c r="J112" s="129" t="str">
        <f t="shared" si="14"/>
        <v>Natural w/Accent</v>
      </c>
      <c r="K112" s="129"/>
      <c r="L112" s="129"/>
      <c r="O112" s="15"/>
      <c r="P112" s="12"/>
      <c r="Q112" s="129"/>
      <c r="X112" s="14"/>
      <c r="Y112" s="13"/>
      <c r="Z112" s="129"/>
      <c r="AD112" s="144"/>
      <c r="AE112" s="15"/>
      <c r="AF112" s="15"/>
      <c r="AG112" s="129"/>
      <c r="AO112" s="14" t="s">
        <v>561</v>
      </c>
      <c r="AP112" s="12" t="s">
        <v>71</v>
      </c>
      <c r="AQ112" s="14" t="s">
        <v>22</v>
      </c>
      <c r="AR112" s="12" t="s">
        <v>948</v>
      </c>
      <c r="AS112" s="129" t="s">
        <v>1340</v>
      </c>
      <c r="AW112" s="16"/>
      <c r="AX112" s="12"/>
      <c r="AY112" s="77"/>
      <c r="AZ112" s="129"/>
      <c r="BN112" s="154" t="str">
        <f t="shared" si="11"/>
        <v>LF</v>
      </c>
      <c r="BO112" s="12" t="s">
        <v>116</v>
      </c>
      <c r="BP112" s="12" t="s">
        <v>996</v>
      </c>
      <c r="BQ112" s="244" t="str">
        <f t="shared" si="12"/>
        <v>{[14_14F]:[BE03]}</v>
      </c>
      <c r="BR112" s="42" t="str">
        <f t="shared" si="13"/>
        <v>Remo Clear Emp Batter</v>
      </c>
      <c r="CB112" s="116"/>
      <c r="CC112" s="9" t="s">
        <v>70</v>
      </c>
      <c r="CD112" s="12" t="s">
        <v>163</v>
      </c>
      <c r="CE112" s="12" t="s">
        <v>995</v>
      </c>
      <c r="CF112" s="244" t="s">
        <v>1462</v>
      </c>
      <c r="CG112" s="42" t="s">
        <v>1416</v>
      </c>
    </row>
    <row r="113" spans="7:85" x14ac:dyDescent="0.3">
      <c r="G113" s="12" t="s">
        <v>16</v>
      </c>
      <c r="H113" s="12" t="s">
        <v>204</v>
      </c>
      <c r="I113" s="12" t="s">
        <v>313</v>
      </c>
      <c r="J113" s="129" t="str">
        <f t="shared" si="14"/>
        <v>Sable Black</v>
      </c>
      <c r="K113" s="129"/>
      <c r="L113" s="129"/>
      <c r="O113" s="13"/>
      <c r="P113" s="12"/>
      <c r="Q113" s="129"/>
      <c r="X113" s="14"/>
      <c r="Y113" s="13"/>
      <c r="Z113" s="129"/>
      <c r="AD113" s="144"/>
      <c r="AE113" s="13"/>
      <c r="AF113" s="13"/>
      <c r="AG113" s="129"/>
      <c r="AO113" s="14" t="s">
        <v>561</v>
      </c>
      <c r="AP113" s="12" t="s">
        <v>71</v>
      </c>
      <c r="AQ113" s="14" t="s">
        <v>22</v>
      </c>
      <c r="AR113" s="12" t="s">
        <v>946</v>
      </c>
      <c r="AS113" s="129" t="s">
        <v>1339</v>
      </c>
      <c r="AW113" s="16"/>
      <c r="AX113" s="12"/>
      <c r="AY113" s="77"/>
      <c r="AZ113" s="129"/>
      <c r="BN113" s="154" t="str">
        <f t="shared" si="11"/>
        <v>LT</v>
      </c>
      <c r="BO113" s="12" t="s">
        <v>176</v>
      </c>
      <c r="BP113" s="12" t="s">
        <v>996</v>
      </c>
      <c r="BQ113" s="244" t="str">
        <f t="shared" si="12"/>
        <v>{[14_14T]:[BE03]}</v>
      </c>
      <c r="BR113" s="42" t="str">
        <f t="shared" si="13"/>
        <v>Remo Clear Emp Batter</v>
      </c>
      <c r="CB113" s="116"/>
      <c r="CC113" s="9" t="s">
        <v>70</v>
      </c>
      <c r="CD113" s="12" t="s">
        <v>169</v>
      </c>
      <c r="CE113" s="12" t="s">
        <v>995</v>
      </c>
      <c r="CF113" s="244" t="s">
        <v>1463</v>
      </c>
      <c r="CG113" s="42" t="s">
        <v>1416</v>
      </c>
    </row>
    <row r="114" spans="7:85" x14ac:dyDescent="0.3">
      <c r="G114" s="12" t="s">
        <v>17</v>
      </c>
      <c r="H114" s="12" t="s">
        <v>204</v>
      </c>
      <c r="I114" s="12" t="s">
        <v>902</v>
      </c>
      <c r="J114" s="129" t="str">
        <f t="shared" si="14"/>
        <v>Satin Sable w/Inlay</v>
      </c>
      <c r="K114" s="129"/>
      <c r="L114" s="129"/>
      <c r="O114" s="13"/>
      <c r="P114" s="12"/>
      <c r="Q114" s="129"/>
      <c r="X114" s="14"/>
      <c r="Y114" s="13"/>
      <c r="Z114" s="129"/>
      <c r="AD114" s="144"/>
      <c r="AE114" s="15"/>
      <c r="AF114" s="15"/>
      <c r="AG114" s="129"/>
      <c r="AO114" s="14" t="s">
        <v>561</v>
      </c>
      <c r="AP114" s="12" t="s">
        <v>71</v>
      </c>
      <c r="AQ114" s="14" t="s">
        <v>22</v>
      </c>
      <c r="AR114" s="12" t="s">
        <v>950</v>
      </c>
      <c r="AS114" s="129" t="s">
        <v>1341</v>
      </c>
      <c r="AW114" s="12"/>
      <c r="AX114" s="12"/>
      <c r="AY114" s="12"/>
      <c r="AZ114" s="129"/>
      <c r="BN114" s="154" t="str">
        <f t="shared" si="11"/>
        <v>LT</v>
      </c>
      <c r="BO114" s="12" t="s">
        <v>151</v>
      </c>
      <c r="BP114" s="12" t="s">
        <v>996</v>
      </c>
      <c r="BQ114" s="244" t="str">
        <f t="shared" si="12"/>
        <v>{[9_14T]:[BE03]}</v>
      </c>
      <c r="BR114" s="42" t="str">
        <f t="shared" si="13"/>
        <v>Remo Clear Emp Batter</v>
      </c>
      <c r="CB114" s="116"/>
      <c r="CC114" s="9" t="s">
        <v>70</v>
      </c>
      <c r="CD114" s="12" t="s">
        <v>175</v>
      </c>
      <c r="CE114" s="12" t="s">
        <v>995</v>
      </c>
      <c r="CF114" s="244" t="s">
        <v>1464</v>
      </c>
      <c r="CG114" s="42" t="s">
        <v>1416</v>
      </c>
    </row>
    <row r="115" spans="7:85" x14ac:dyDescent="0.3">
      <c r="G115" s="12" t="s">
        <v>17</v>
      </c>
      <c r="H115" s="12" t="s">
        <v>204</v>
      </c>
      <c r="I115" s="12" t="s">
        <v>904</v>
      </c>
      <c r="J115" s="129" t="str">
        <f t="shared" si="14"/>
        <v>Satin Natural w/Inlay</v>
      </c>
      <c r="K115" s="129"/>
      <c r="L115" s="129"/>
      <c r="O115" s="13"/>
      <c r="P115" s="12"/>
      <c r="Q115" s="129"/>
      <c r="X115" s="14"/>
      <c r="Y115" s="13"/>
      <c r="Z115" s="129"/>
      <c r="AD115" s="144"/>
      <c r="AE115" s="13"/>
      <c r="AF115" s="13"/>
      <c r="AG115" s="129"/>
      <c r="AO115" s="14" t="s">
        <v>561</v>
      </c>
      <c r="AP115" s="12" t="s">
        <v>71</v>
      </c>
      <c r="AQ115" s="14" t="s">
        <v>22</v>
      </c>
      <c r="AR115" s="12" t="s">
        <v>954</v>
      </c>
      <c r="AS115" s="129" t="s">
        <v>1343</v>
      </c>
      <c r="AW115" s="12"/>
      <c r="AX115" s="12"/>
      <c r="AY115" s="12"/>
      <c r="AZ115" s="129"/>
      <c r="BN115" s="154" t="str">
        <f t="shared" si="11"/>
        <v>LT</v>
      </c>
      <c r="BO115" s="12" t="s">
        <v>178</v>
      </c>
      <c r="BP115" s="12" t="s">
        <v>996</v>
      </c>
      <c r="BQ115" s="244" t="str">
        <f t="shared" si="12"/>
        <v>{[12_15T]:[BE03]}</v>
      </c>
      <c r="BR115" s="42" t="str">
        <f t="shared" si="13"/>
        <v>Remo Clear Emp Batter</v>
      </c>
      <c r="CB115" s="116"/>
      <c r="CC115" s="9" t="s">
        <v>70</v>
      </c>
      <c r="CD115" s="12" t="s">
        <v>176</v>
      </c>
      <c r="CE115" s="12" t="s">
        <v>995</v>
      </c>
      <c r="CF115" s="244" t="s">
        <v>1465</v>
      </c>
      <c r="CG115" s="42" t="s">
        <v>1416</v>
      </c>
    </row>
    <row r="116" spans="7:85" x14ac:dyDescent="0.3">
      <c r="G116" s="12" t="s">
        <v>17</v>
      </c>
      <c r="H116" s="12" t="s">
        <v>204</v>
      </c>
      <c r="I116" s="12" t="s">
        <v>26</v>
      </c>
      <c r="J116" s="129" t="str">
        <f t="shared" si="14"/>
        <v>Satin Sable</v>
      </c>
      <c r="K116" s="129"/>
      <c r="L116" s="129"/>
      <c r="O116" s="13"/>
      <c r="P116" s="12"/>
      <c r="Q116" s="129"/>
      <c r="X116" s="14"/>
      <c r="Y116" s="13"/>
      <c r="Z116" s="129"/>
      <c r="AD116" s="144"/>
      <c r="AE116" s="15"/>
      <c r="AF116" s="15"/>
      <c r="AG116" s="129"/>
      <c r="AO116" s="14" t="s">
        <v>561</v>
      </c>
      <c r="AP116" s="12" t="s">
        <v>85</v>
      </c>
      <c r="AQ116" s="14" t="s">
        <v>518</v>
      </c>
      <c r="AR116" s="12" t="s">
        <v>952</v>
      </c>
      <c r="AS116" s="129" t="s">
        <v>1342</v>
      </c>
      <c r="AW116" s="12"/>
      <c r="AX116" s="12"/>
      <c r="AY116" s="12"/>
      <c r="AZ116" s="129"/>
      <c r="BN116" s="154" t="str">
        <f t="shared" si="11"/>
        <v>LF</v>
      </c>
      <c r="BO116" s="12" t="s">
        <v>118</v>
      </c>
      <c r="BP116" s="12" t="s">
        <v>996</v>
      </c>
      <c r="BQ116" s="244" t="str">
        <f t="shared" si="12"/>
        <v>{[13_15F]:[BE03]}</v>
      </c>
      <c r="BR116" s="42" t="str">
        <f t="shared" si="13"/>
        <v>Remo Clear Emp Batter</v>
      </c>
      <c r="CB116" s="116"/>
      <c r="CC116" s="9" t="s">
        <v>70</v>
      </c>
      <c r="CD116" s="12" t="s">
        <v>178</v>
      </c>
      <c r="CE116" s="12" t="s">
        <v>995</v>
      </c>
      <c r="CF116" s="244" t="s">
        <v>1466</v>
      </c>
      <c r="CG116" s="42" t="s">
        <v>1416</v>
      </c>
    </row>
    <row r="117" spans="7:85" x14ac:dyDescent="0.3">
      <c r="G117" s="12" t="s">
        <v>17</v>
      </c>
      <c r="H117" s="12" t="s">
        <v>204</v>
      </c>
      <c r="I117" s="12" t="s">
        <v>914</v>
      </c>
      <c r="J117" s="129" t="str">
        <f t="shared" si="14"/>
        <v>Satin Sable w/Accent</v>
      </c>
      <c r="K117" s="129"/>
      <c r="L117" s="129"/>
      <c r="O117" s="13"/>
      <c r="P117" s="12"/>
      <c r="Q117" s="129"/>
      <c r="X117" s="14"/>
      <c r="Y117" s="13"/>
      <c r="Z117" s="129"/>
      <c r="AD117" s="144"/>
      <c r="AE117" s="13"/>
      <c r="AF117" s="13"/>
      <c r="AG117" s="129"/>
      <c r="AO117" s="14" t="s">
        <v>561</v>
      </c>
      <c r="AP117" s="12" t="s">
        <v>85</v>
      </c>
      <c r="AQ117" s="14" t="s">
        <v>518</v>
      </c>
      <c r="AR117" s="12" t="s">
        <v>948</v>
      </c>
      <c r="AS117" s="129" t="s">
        <v>1340</v>
      </c>
      <c r="AW117" s="16"/>
      <c r="AX117" s="12"/>
      <c r="AY117" s="77"/>
      <c r="AZ117" s="129"/>
      <c r="BN117" s="154" t="str">
        <f t="shared" si="11"/>
        <v>LT</v>
      </c>
      <c r="BO117" s="12" t="s">
        <v>179</v>
      </c>
      <c r="BP117" s="12" t="s">
        <v>996</v>
      </c>
      <c r="BQ117" s="244" t="str">
        <f t="shared" si="12"/>
        <v>{[13_15T]:[BE03]}</v>
      </c>
      <c r="BR117" s="42" t="str">
        <f t="shared" si="13"/>
        <v>Remo Clear Emp Batter</v>
      </c>
      <c r="CB117" s="116"/>
      <c r="CC117" s="9" t="s">
        <v>70</v>
      </c>
      <c r="CD117" s="12" t="s">
        <v>179</v>
      </c>
      <c r="CE117" s="12" t="s">
        <v>995</v>
      </c>
      <c r="CF117" s="244" t="s">
        <v>1467</v>
      </c>
      <c r="CG117" s="42" t="s">
        <v>1416</v>
      </c>
    </row>
    <row r="118" spans="7:85" x14ac:dyDescent="0.3">
      <c r="G118" s="12" t="s">
        <v>17</v>
      </c>
      <c r="H118" s="12" t="s">
        <v>204</v>
      </c>
      <c r="I118" s="12" t="s">
        <v>321</v>
      </c>
      <c r="J118" s="129" t="str">
        <f t="shared" si="14"/>
        <v>Satin Natural</v>
      </c>
      <c r="K118" s="129"/>
      <c r="L118" s="129"/>
      <c r="O118" s="13"/>
      <c r="P118" s="12"/>
      <c r="Q118" s="129"/>
      <c r="X118" s="14"/>
      <c r="Y118" s="13"/>
      <c r="Z118" s="129"/>
      <c r="AD118" s="144"/>
      <c r="AE118" s="12"/>
      <c r="AF118" s="12"/>
      <c r="AG118" s="129"/>
      <c r="AO118" s="14" t="s">
        <v>561</v>
      </c>
      <c r="AP118" s="12" t="s">
        <v>85</v>
      </c>
      <c r="AQ118" s="14" t="s">
        <v>518</v>
      </c>
      <c r="AR118" s="12" t="s">
        <v>946</v>
      </c>
      <c r="AS118" s="129" t="s">
        <v>1339</v>
      </c>
      <c r="AW118" s="16"/>
      <c r="AX118" s="12"/>
      <c r="AY118" s="77"/>
      <c r="AZ118" s="129"/>
      <c r="BN118" s="154" t="str">
        <f t="shared" si="11"/>
        <v>LF</v>
      </c>
      <c r="BO118" s="12" t="s">
        <v>122</v>
      </c>
      <c r="BP118" s="12" t="s">
        <v>996</v>
      </c>
      <c r="BQ118" s="244" t="str">
        <f t="shared" si="12"/>
        <v>{[14_15F]:[BE03]}</v>
      </c>
      <c r="BR118" s="42" t="str">
        <f t="shared" si="13"/>
        <v>Remo Clear Emp Batter</v>
      </c>
      <c r="CB118" s="116"/>
      <c r="CC118" s="9" t="s">
        <v>70</v>
      </c>
      <c r="CD118" s="12" t="s">
        <v>180</v>
      </c>
      <c r="CE118" s="12" t="s">
        <v>995</v>
      </c>
      <c r="CF118" s="244" t="s">
        <v>1468</v>
      </c>
      <c r="CG118" s="42" t="s">
        <v>1416</v>
      </c>
    </row>
    <row r="119" spans="7:85" x14ac:dyDescent="0.3">
      <c r="G119" s="12" t="s">
        <v>17</v>
      </c>
      <c r="H119" s="12" t="s">
        <v>204</v>
      </c>
      <c r="I119" s="12" t="s">
        <v>912</v>
      </c>
      <c r="J119" s="129" t="str">
        <f t="shared" si="14"/>
        <v>Satin Natural w/Accent</v>
      </c>
      <c r="K119" s="129"/>
      <c r="L119" s="129"/>
      <c r="O119" s="13"/>
      <c r="P119" s="12"/>
      <c r="Q119" s="129"/>
      <c r="X119" s="14"/>
      <c r="Y119" s="13"/>
      <c r="Z119" s="129"/>
      <c r="AD119" s="144"/>
      <c r="AE119" s="15"/>
      <c r="AF119" s="15"/>
      <c r="AG119" s="129"/>
      <c r="AO119" s="14" t="s">
        <v>561</v>
      </c>
      <c r="AP119" s="12" t="s">
        <v>85</v>
      </c>
      <c r="AQ119" s="14" t="s">
        <v>518</v>
      </c>
      <c r="AR119" s="12" t="s">
        <v>950</v>
      </c>
      <c r="AS119" s="129" t="s">
        <v>1341</v>
      </c>
      <c r="BN119" s="154" t="str">
        <f t="shared" si="11"/>
        <v>LT</v>
      </c>
      <c r="BO119" s="12" t="s">
        <v>180</v>
      </c>
      <c r="BP119" s="12" t="s">
        <v>996</v>
      </c>
      <c r="BQ119" s="244" t="str">
        <f t="shared" si="12"/>
        <v>{[14_15T]:[BE03]}</v>
      </c>
      <c r="BR119" s="42" t="str">
        <f t="shared" si="13"/>
        <v>Remo Clear Emp Batter</v>
      </c>
      <c r="CB119" s="116"/>
      <c r="CC119" s="9" t="s">
        <v>70</v>
      </c>
      <c r="CD119" s="12" t="s">
        <v>181</v>
      </c>
      <c r="CE119" s="12" t="s">
        <v>995</v>
      </c>
      <c r="CF119" s="244" t="s">
        <v>1469</v>
      </c>
      <c r="CG119" s="42" t="s">
        <v>1416</v>
      </c>
    </row>
    <row r="120" spans="7:85" x14ac:dyDescent="0.3">
      <c r="G120" s="12" t="s">
        <v>17</v>
      </c>
      <c r="H120" s="12" t="s">
        <v>204</v>
      </c>
      <c r="I120" s="12" t="s">
        <v>309</v>
      </c>
      <c r="J120" s="129" t="str">
        <f t="shared" si="14"/>
        <v>Natural Hoop</v>
      </c>
      <c r="K120" s="129"/>
      <c r="L120" s="129"/>
      <c r="O120" s="15"/>
      <c r="P120" s="12"/>
      <c r="Q120" s="129"/>
      <c r="X120" s="14"/>
      <c r="Y120" s="13"/>
      <c r="Z120" s="129"/>
      <c r="AD120" s="144"/>
      <c r="AE120" s="13"/>
      <c r="AF120" s="13"/>
      <c r="AG120" s="129"/>
      <c r="AO120" s="14" t="s">
        <v>561</v>
      </c>
      <c r="AP120" s="12" t="s">
        <v>85</v>
      </c>
      <c r="AQ120" s="14" t="s">
        <v>518</v>
      </c>
      <c r="AR120" s="12" t="s">
        <v>954</v>
      </c>
      <c r="AS120" s="129" t="s">
        <v>1343</v>
      </c>
      <c r="BN120" s="154" t="str">
        <f t="shared" si="11"/>
        <v>LF</v>
      </c>
      <c r="BO120" s="12" t="s">
        <v>125</v>
      </c>
      <c r="BP120" s="12" t="s">
        <v>996</v>
      </c>
      <c r="BQ120" s="244" t="str">
        <f t="shared" si="12"/>
        <v>{[13_16F]:[BE03]}</v>
      </c>
      <c r="BR120" s="42" t="str">
        <f t="shared" si="13"/>
        <v>Remo Clear Emp Batter</v>
      </c>
      <c r="CB120" s="116"/>
      <c r="CC120" s="9" t="s">
        <v>70</v>
      </c>
      <c r="CD120" s="12" t="s">
        <v>182</v>
      </c>
      <c r="CE120" s="12" t="s">
        <v>995</v>
      </c>
      <c r="CF120" s="244" t="s">
        <v>1470</v>
      </c>
      <c r="CG120" s="42" t="s">
        <v>1416</v>
      </c>
    </row>
    <row r="121" spans="7:85" x14ac:dyDescent="0.3">
      <c r="G121" s="12" t="s">
        <v>17</v>
      </c>
      <c r="H121" s="12" t="s">
        <v>204</v>
      </c>
      <c r="I121" s="12" t="s">
        <v>907</v>
      </c>
      <c r="J121" s="129" t="str">
        <f t="shared" si="14"/>
        <v>Natural w/Inlay</v>
      </c>
      <c r="K121" s="129"/>
      <c r="L121" s="129"/>
      <c r="O121" s="13"/>
      <c r="P121" s="12"/>
      <c r="Q121" s="129"/>
      <c r="X121" s="14"/>
      <c r="Y121" s="15"/>
      <c r="Z121" s="129"/>
      <c r="AD121" s="144"/>
      <c r="AE121" s="13"/>
      <c r="AF121" s="13"/>
      <c r="AG121" s="129"/>
      <c r="AO121" s="40" t="s">
        <v>561</v>
      </c>
      <c r="AP121" s="16" t="s">
        <v>85</v>
      </c>
      <c r="AQ121" s="16" t="s">
        <v>23</v>
      </c>
      <c r="AR121" s="16" t="s">
        <v>946</v>
      </c>
      <c r="AS121" s="129" t="s">
        <v>1339</v>
      </c>
      <c r="BN121" s="154" t="str">
        <f t="shared" si="11"/>
        <v>LT</v>
      </c>
      <c r="BO121" s="12" t="s">
        <v>181</v>
      </c>
      <c r="BP121" s="12" t="s">
        <v>996</v>
      </c>
      <c r="BQ121" s="244" t="str">
        <f t="shared" si="12"/>
        <v>{[13_16T]:[BE03]}</v>
      </c>
      <c r="BR121" s="42" t="str">
        <f t="shared" si="13"/>
        <v>Remo Clear Emp Batter</v>
      </c>
      <c r="CB121" s="116"/>
      <c r="CC121" s="9" t="s">
        <v>70</v>
      </c>
      <c r="CD121" s="12" t="s">
        <v>183</v>
      </c>
      <c r="CE121" s="12" t="s">
        <v>995</v>
      </c>
      <c r="CF121" s="244" t="s">
        <v>1471</v>
      </c>
      <c r="CG121" s="42" t="s">
        <v>1416</v>
      </c>
    </row>
    <row r="122" spans="7:85" x14ac:dyDescent="0.3">
      <c r="G122" s="12" t="s">
        <v>17</v>
      </c>
      <c r="H122" s="12" t="s">
        <v>204</v>
      </c>
      <c r="I122" s="12" t="s">
        <v>909</v>
      </c>
      <c r="J122" s="129" t="str">
        <f t="shared" si="14"/>
        <v>Natural w/Accent</v>
      </c>
      <c r="K122" s="129"/>
      <c r="L122" s="129"/>
      <c r="O122" s="13"/>
      <c r="P122" s="12"/>
      <c r="Q122" s="129"/>
      <c r="X122" s="14"/>
      <c r="Y122" s="13"/>
      <c r="Z122" s="129"/>
      <c r="AD122" s="144"/>
      <c r="AE122" s="13"/>
      <c r="AF122" s="13"/>
      <c r="AG122" s="129"/>
      <c r="AO122" s="14" t="s">
        <v>561</v>
      </c>
      <c r="AP122" s="12" t="s">
        <v>85</v>
      </c>
      <c r="AQ122" s="12" t="s">
        <v>23</v>
      </c>
      <c r="AR122" s="12" t="s">
        <v>950</v>
      </c>
      <c r="AS122" s="129" t="s">
        <v>1341</v>
      </c>
      <c r="BN122" s="154" t="str">
        <f t="shared" si="11"/>
        <v>LF</v>
      </c>
      <c r="BO122" s="12" t="s">
        <v>126</v>
      </c>
      <c r="BP122" s="12" t="s">
        <v>996</v>
      </c>
      <c r="BQ122" s="244" t="str">
        <f t="shared" si="12"/>
        <v>{[14_16F]:[BE03]}</v>
      </c>
      <c r="BR122" s="42" t="str">
        <f t="shared" si="13"/>
        <v>Remo Clear Emp Batter</v>
      </c>
      <c r="CB122" s="116"/>
      <c r="CC122" s="9" t="s">
        <v>70</v>
      </c>
      <c r="CD122" s="12" t="s">
        <v>184</v>
      </c>
      <c r="CE122" s="12" t="s">
        <v>995</v>
      </c>
      <c r="CF122" s="244" t="s">
        <v>1472</v>
      </c>
      <c r="CG122" s="42" t="s">
        <v>1416</v>
      </c>
    </row>
    <row r="123" spans="7:85" x14ac:dyDescent="0.3">
      <c r="G123" s="12" t="s">
        <v>17</v>
      </c>
      <c r="H123" s="12" t="s">
        <v>204</v>
      </c>
      <c r="I123" s="12" t="s">
        <v>313</v>
      </c>
      <c r="J123" s="129" t="str">
        <f t="shared" si="14"/>
        <v>Sable Black</v>
      </c>
      <c r="K123" s="129"/>
      <c r="L123" s="129"/>
      <c r="O123" s="13"/>
      <c r="P123" s="12"/>
      <c r="Q123" s="129"/>
      <c r="X123" s="14"/>
      <c r="Y123" s="13"/>
      <c r="Z123" s="129"/>
      <c r="AD123" s="144"/>
      <c r="AE123" s="13"/>
      <c r="AF123" s="13"/>
      <c r="AG123" s="129"/>
      <c r="AO123" s="14" t="s">
        <v>561</v>
      </c>
      <c r="AP123" s="12" t="s">
        <v>85</v>
      </c>
      <c r="AQ123" s="12" t="s">
        <v>23</v>
      </c>
      <c r="AR123" s="12" t="s">
        <v>954</v>
      </c>
      <c r="AS123" s="129" t="s">
        <v>1343</v>
      </c>
      <c r="BN123" s="154" t="str">
        <f t="shared" si="11"/>
        <v>LT</v>
      </c>
      <c r="BO123" s="12" t="s">
        <v>182</v>
      </c>
      <c r="BP123" s="12" t="s">
        <v>996</v>
      </c>
      <c r="BQ123" s="244" t="str">
        <f t="shared" si="12"/>
        <v>{[14_16T]:[BE03]}</v>
      </c>
      <c r="BR123" s="42" t="str">
        <f t="shared" si="13"/>
        <v>Remo Clear Emp Batter</v>
      </c>
      <c r="CB123" s="116"/>
      <c r="CC123" s="9" t="s">
        <v>70</v>
      </c>
      <c r="CD123" s="12" t="s">
        <v>205</v>
      </c>
      <c r="CE123" s="12" t="s">
        <v>995</v>
      </c>
      <c r="CF123" s="244" t="s">
        <v>1473</v>
      </c>
      <c r="CG123" s="42" t="s">
        <v>1416</v>
      </c>
    </row>
    <row r="124" spans="7:85" x14ac:dyDescent="0.3">
      <c r="G124" s="12" t="s">
        <v>19</v>
      </c>
      <c r="H124" s="12" t="s">
        <v>204</v>
      </c>
      <c r="I124" s="12" t="s">
        <v>902</v>
      </c>
      <c r="J124" s="129" t="str">
        <f t="shared" si="14"/>
        <v>Satin Sable w/Inlay</v>
      </c>
      <c r="K124" s="129"/>
      <c r="L124" s="129"/>
      <c r="O124" s="13"/>
      <c r="P124" s="12"/>
      <c r="Q124" s="129"/>
      <c r="X124" s="14"/>
      <c r="Y124" s="13"/>
      <c r="Z124" s="129"/>
      <c r="AD124" s="144"/>
      <c r="AE124" s="13"/>
      <c r="AF124" s="13"/>
      <c r="AG124" s="129"/>
      <c r="AO124" s="14" t="s">
        <v>561</v>
      </c>
      <c r="AP124" s="12" t="s">
        <v>85</v>
      </c>
      <c r="AQ124" s="14" t="s">
        <v>16</v>
      </c>
      <c r="AR124" s="12" t="s">
        <v>948</v>
      </c>
      <c r="AS124" s="129" t="s">
        <v>1340</v>
      </c>
      <c r="BN124" s="154" t="str">
        <f t="shared" si="11"/>
        <v>LF</v>
      </c>
      <c r="BO124" s="12" t="s">
        <v>128</v>
      </c>
      <c r="BP124" s="12" t="s">
        <v>996</v>
      </c>
      <c r="BQ124" s="244" t="str">
        <f t="shared" si="12"/>
        <v>{[15_16F]:[BE03]}</v>
      </c>
      <c r="BR124" s="42" t="str">
        <f t="shared" si="13"/>
        <v>Remo Clear Emp Batter</v>
      </c>
      <c r="CB124" s="116"/>
      <c r="CC124" s="12" t="s">
        <v>56</v>
      </c>
      <c r="CD124" s="12" t="s">
        <v>110</v>
      </c>
      <c r="CE124" s="12" t="s">
        <v>995</v>
      </c>
      <c r="CF124" s="244" t="s">
        <v>1474</v>
      </c>
      <c r="CG124" s="42" t="s">
        <v>1416</v>
      </c>
    </row>
    <row r="125" spans="7:85" x14ac:dyDescent="0.3">
      <c r="G125" s="12" t="s">
        <v>19</v>
      </c>
      <c r="H125" s="12" t="s">
        <v>204</v>
      </c>
      <c r="I125" s="12" t="s">
        <v>904</v>
      </c>
      <c r="J125" s="129" t="str">
        <f t="shared" si="14"/>
        <v>Satin Natural w/Inlay</v>
      </c>
      <c r="K125" s="129"/>
      <c r="L125" s="129"/>
      <c r="O125" s="13"/>
      <c r="P125" s="12"/>
      <c r="Q125" s="129"/>
      <c r="X125" s="14"/>
      <c r="Y125" s="13"/>
      <c r="Z125" s="129"/>
      <c r="AD125" s="144"/>
      <c r="AE125" s="15"/>
      <c r="AF125" s="15"/>
      <c r="AG125" s="129"/>
      <c r="AO125" s="14" t="s">
        <v>561</v>
      </c>
      <c r="AP125" s="12" t="s">
        <v>85</v>
      </c>
      <c r="AQ125" s="14" t="s">
        <v>16</v>
      </c>
      <c r="AR125" s="12" t="s">
        <v>946</v>
      </c>
      <c r="AS125" s="129" t="s">
        <v>1339</v>
      </c>
      <c r="BN125" s="154" t="str">
        <f t="shared" si="11"/>
        <v>LT</v>
      </c>
      <c r="BO125" s="12" t="s">
        <v>183</v>
      </c>
      <c r="BP125" s="12" t="s">
        <v>996</v>
      </c>
      <c r="BQ125" s="244" t="str">
        <f t="shared" si="12"/>
        <v>{[15_16T]:[BE03]}</v>
      </c>
      <c r="BR125" s="42" t="str">
        <f t="shared" si="13"/>
        <v>Remo Clear Emp Batter</v>
      </c>
      <c r="CB125" s="116"/>
      <c r="CC125" s="12" t="s">
        <v>56</v>
      </c>
      <c r="CD125" s="12" t="s">
        <v>113</v>
      </c>
      <c r="CE125" s="12" t="s">
        <v>995</v>
      </c>
      <c r="CF125" s="244" t="s">
        <v>1475</v>
      </c>
      <c r="CG125" s="42" t="s">
        <v>1416</v>
      </c>
    </row>
    <row r="126" spans="7:85" x14ac:dyDescent="0.3">
      <c r="G126" s="12" t="s">
        <v>19</v>
      </c>
      <c r="H126" s="12" t="s">
        <v>204</v>
      </c>
      <c r="I126" s="12" t="s">
        <v>26</v>
      </c>
      <c r="J126" s="129" t="str">
        <f t="shared" si="14"/>
        <v>Satin Sable</v>
      </c>
      <c r="K126" s="129"/>
      <c r="L126" s="129"/>
      <c r="O126" s="13"/>
      <c r="P126" s="12"/>
      <c r="Q126" s="129"/>
      <c r="X126" s="14"/>
      <c r="Y126" s="13"/>
      <c r="Z126" s="129"/>
      <c r="AD126" s="144"/>
      <c r="AE126" s="13"/>
      <c r="AF126" s="13"/>
      <c r="AG126" s="129"/>
      <c r="AO126" s="14" t="s">
        <v>561</v>
      </c>
      <c r="AP126" s="12" t="s">
        <v>85</v>
      </c>
      <c r="AQ126" s="14" t="s">
        <v>16</v>
      </c>
      <c r="AR126" s="12" t="s">
        <v>950</v>
      </c>
      <c r="AS126" s="129" t="s">
        <v>1341</v>
      </c>
      <c r="BN126" s="154" t="str">
        <f t="shared" si="11"/>
        <v>LF</v>
      </c>
      <c r="BO126" s="12" t="s">
        <v>129</v>
      </c>
      <c r="BP126" s="12" t="s">
        <v>996</v>
      </c>
      <c r="BQ126" s="244" t="str">
        <f t="shared" si="12"/>
        <v>{[16_16F]:[BE03]}</v>
      </c>
      <c r="BR126" s="42" t="str">
        <f t="shared" si="13"/>
        <v>Remo Clear Emp Batter</v>
      </c>
      <c r="CB126" s="116"/>
      <c r="CC126" s="12" t="s">
        <v>56</v>
      </c>
      <c r="CD126" s="12" t="s">
        <v>116</v>
      </c>
      <c r="CE126" s="12" t="s">
        <v>995</v>
      </c>
      <c r="CF126" s="244" t="s">
        <v>1476</v>
      </c>
      <c r="CG126" s="42" t="s">
        <v>1416</v>
      </c>
    </row>
    <row r="127" spans="7:85" x14ac:dyDescent="0.3">
      <c r="G127" s="12" t="s">
        <v>19</v>
      </c>
      <c r="H127" s="12" t="s">
        <v>204</v>
      </c>
      <c r="I127" s="12" t="s">
        <v>914</v>
      </c>
      <c r="J127" s="129" t="str">
        <f t="shared" si="14"/>
        <v>Satin Sable w/Accent</v>
      </c>
      <c r="K127" s="129"/>
      <c r="L127" s="129"/>
      <c r="O127" s="13"/>
      <c r="P127" s="12"/>
      <c r="Q127" s="129"/>
      <c r="X127" s="14"/>
      <c r="Y127" s="13"/>
      <c r="Z127" s="129"/>
      <c r="AD127" s="144"/>
      <c r="AE127" s="15"/>
      <c r="AF127" s="15"/>
      <c r="AG127" s="129"/>
      <c r="AO127" s="14" t="s">
        <v>561</v>
      </c>
      <c r="AP127" s="12" t="s">
        <v>85</v>
      </c>
      <c r="AQ127" s="14" t="s">
        <v>16</v>
      </c>
      <c r="AR127" s="12" t="s">
        <v>954</v>
      </c>
      <c r="AS127" s="129" t="s">
        <v>1343</v>
      </c>
      <c r="BN127" s="154" t="str">
        <f t="shared" si="11"/>
        <v>LT</v>
      </c>
      <c r="BO127" s="12" t="s">
        <v>184</v>
      </c>
      <c r="BP127" s="12" t="s">
        <v>996</v>
      </c>
      <c r="BQ127" s="244" t="str">
        <f t="shared" si="12"/>
        <v>{[16_16T]:[BE03]}</v>
      </c>
      <c r="BR127" s="42" t="str">
        <f t="shared" si="13"/>
        <v>Remo Clear Emp Batter</v>
      </c>
      <c r="CB127" s="116"/>
      <c r="CC127" s="12" t="s">
        <v>56</v>
      </c>
      <c r="CD127" s="12" t="s">
        <v>118</v>
      </c>
      <c r="CE127" s="12" t="s">
        <v>995</v>
      </c>
      <c r="CF127" s="244" t="s">
        <v>1477</v>
      </c>
      <c r="CG127" s="42" t="s">
        <v>1416</v>
      </c>
    </row>
    <row r="128" spans="7:85" x14ac:dyDescent="0.3">
      <c r="G128" s="12" t="s">
        <v>19</v>
      </c>
      <c r="H128" s="12" t="s">
        <v>204</v>
      </c>
      <c r="I128" s="12" t="s">
        <v>321</v>
      </c>
      <c r="J128" s="129" t="str">
        <f t="shared" si="14"/>
        <v>Satin Natural</v>
      </c>
      <c r="K128" s="129"/>
      <c r="L128" s="129"/>
      <c r="O128" s="13"/>
      <c r="P128" s="12"/>
      <c r="Q128" s="129"/>
      <c r="X128" s="9"/>
      <c r="Y128" s="9"/>
      <c r="Z128" s="129"/>
      <c r="AD128" s="144"/>
      <c r="AE128" s="13"/>
      <c r="AF128" s="13"/>
      <c r="AG128" s="129"/>
      <c r="AO128" s="40" t="s">
        <v>561</v>
      </c>
      <c r="AP128" s="16" t="s">
        <v>85</v>
      </c>
      <c r="AQ128" s="16" t="s">
        <v>24</v>
      </c>
      <c r="AR128" s="16" t="s">
        <v>946</v>
      </c>
      <c r="AS128" s="129" t="s">
        <v>1339</v>
      </c>
      <c r="BN128" s="154" t="str">
        <f t="shared" si="11"/>
        <v>LF</v>
      </c>
      <c r="BO128" s="12" t="s">
        <v>131</v>
      </c>
      <c r="BP128" s="12" t="s">
        <v>996</v>
      </c>
      <c r="BQ128" s="244" t="str">
        <f t="shared" si="12"/>
        <v>{[16_18F]:[BE03]}</v>
      </c>
      <c r="BR128" s="42" t="str">
        <f t="shared" si="13"/>
        <v>Remo Clear Emp Batter</v>
      </c>
      <c r="CB128" s="116"/>
      <c r="CC128" s="12" t="s">
        <v>56</v>
      </c>
      <c r="CD128" s="12" t="s">
        <v>122</v>
      </c>
      <c r="CE128" s="12" t="s">
        <v>995</v>
      </c>
      <c r="CF128" s="244" t="s">
        <v>1478</v>
      </c>
      <c r="CG128" s="42" t="s">
        <v>1416</v>
      </c>
    </row>
    <row r="129" spans="7:85" x14ac:dyDescent="0.3">
      <c r="G129" s="12" t="s">
        <v>19</v>
      </c>
      <c r="H129" s="12" t="s">
        <v>204</v>
      </c>
      <c r="I129" s="12" t="s">
        <v>912</v>
      </c>
      <c r="J129" s="129" t="str">
        <f t="shared" si="14"/>
        <v>Satin Natural w/Accent</v>
      </c>
      <c r="K129" s="129"/>
      <c r="L129" s="129"/>
      <c r="O129" s="13"/>
      <c r="P129" s="12"/>
      <c r="Q129" s="129"/>
      <c r="X129" s="9"/>
      <c r="Y129" s="9"/>
      <c r="Z129" s="129"/>
      <c r="AD129" s="144"/>
      <c r="AE129" s="15"/>
      <c r="AF129" s="15"/>
      <c r="AG129" s="129"/>
      <c r="AO129" s="14" t="s">
        <v>561</v>
      </c>
      <c r="AP129" s="12" t="s">
        <v>85</v>
      </c>
      <c r="AQ129" s="12" t="s">
        <v>24</v>
      </c>
      <c r="AR129" s="12" t="s">
        <v>950</v>
      </c>
      <c r="AS129" s="129" t="s">
        <v>1341</v>
      </c>
      <c r="BN129" s="154" t="str">
        <f t="shared" si="11"/>
        <v>LT</v>
      </c>
      <c r="BO129" s="12" t="s">
        <v>205</v>
      </c>
      <c r="BP129" s="12" t="s">
        <v>996</v>
      </c>
      <c r="BQ129" s="244" t="str">
        <f t="shared" si="12"/>
        <v>{[16_18T]:[BE03]}</v>
      </c>
      <c r="BR129" s="42" t="str">
        <f t="shared" si="13"/>
        <v>Remo Clear Emp Batter</v>
      </c>
      <c r="CB129" s="116"/>
      <c r="CC129" s="12" t="s">
        <v>56</v>
      </c>
      <c r="CD129" s="12" t="s">
        <v>125</v>
      </c>
      <c r="CE129" s="12" t="s">
        <v>995</v>
      </c>
      <c r="CF129" s="244" t="s">
        <v>1479</v>
      </c>
      <c r="CG129" s="42" t="s">
        <v>1416</v>
      </c>
    </row>
    <row r="130" spans="7:85" x14ac:dyDescent="0.3">
      <c r="G130" s="12" t="s">
        <v>19</v>
      </c>
      <c r="H130" s="12" t="s">
        <v>204</v>
      </c>
      <c r="I130" s="12" t="s">
        <v>309</v>
      </c>
      <c r="J130" s="129" t="str">
        <f t="shared" si="14"/>
        <v>Natural Hoop</v>
      </c>
      <c r="K130" s="129"/>
      <c r="L130" s="129"/>
      <c r="O130" s="13"/>
      <c r="P130" s="12"/>
      <c r="Q130" s="129"/>
      <c r="X130" s="9"/>
      <c r="Y130" s="9"/>
      <c r="Z130" s="129"/>
      <c r="AD130" s="144"/>
      <c r="AE130" s="15"/>
      <c r="AF130" s="15"/>
      <c r="AG130" s="129"/>
      <c r="AO130" s="14" t="s">
        <v>561</v>
      </c>
      <c r="AP130" s="12" t="s">
        <v>85</v>
      </c>
      <c r="AQ130" s="12" t="s">
        <v>24</v>
      </c>
      <c r="AR130" s="12" t="s">
        <v>954</v>
      </c>
      <c r="AS130" s="129" t="s">
        <v>1343</v>
      </c>
      <c r="BN130" s="154" t="str">
        <f t="shared" si="11"/>
        <v>LB</v>
      </c>
      <c r="BO130" s="12" t="s">
        <v>45</v>
      </c>
      <c r="BP130" s="12" t="s">
        <v>997</v>
      </c>
      <c r="BQ130" s="244" t="str">
        <f t="shared" si="12"/>
        <v>{[12_18B]:[P313]}</v>
      </c>
      <c r="BR130" s="42" t="str">
        <f t="shared" si="13"/>
        <v>Remo PS3 Clear Batter</v>
      </c>
      <c r="CB130" s="116"/>
      <c r="CC130" s="12" t="s">
        <v>56</v>
      </c>
      <c r="CD130" s="12" t="s">
        <v>126</v>
      </c>
      <c r="CE130" s="12" t="s">
        <v>995</v>
      </c>
      <c r="CF130" s="244" t="s">
        <v>1480</v>
      </c>
      <c r="CG130" s="42" t="s">
        <v>1416</v>
      </c>
    </row>
    <row r="131" spans="7:85" x14ac:dyDescent="0.3">
      <c r="G131" s="12" t="s">
        <v>19</v>
      </c>
      <c r="H131" s="12" t="s">
        <v>204</v>
      </c>
      <c r="I131" s="12" t="s">
        <v>313</v>
      </c>
      <c r="J131" s="129" t="str">
        <f t="shared" si="14"/>
        <v>Sable Black</v>
      </c>
      <c r="K131" s="129"/>
      <c r="L131" s="129"/>
      <c r="O131" s="13"/>
      <c r="P131" s="12"/>
      <c r="Q131" s="129"/>
      <c r="X131" s="9"/>
      <c r="Y131" s="9"/>
      <c r="Z131" s="129"/>
      <c r="AD131" s="144"/>
      <c r="AE131" s="15"/>
      <c r="AF131" s="15"/>
      <c r="AG131" s="129"/>
      <c r="AO131" s="14" t="s">
        <v>561</v>
      </c>
      <c r="AP131" s="12" t="s">
        <v>85</v>
      </c>
      <c r="AQ131" s="14" t="s">
        <v>22</v>
      </c>
      <c r="AR131" s="12" t="s">
        <v>952</v>
      </c>
      <c r="AS131" s="129" t="s">
        <v>1342</v>
      </c>
      <c r="BN131" s="154" t="str">
        <f t="shared" si="11"/>
        <v>LB</v>
      </c>
      <c r="BO131" s="12" t="s">
        <v>49</v>
      </c>
      <c r="BP131" s="12" t="s">
        <v>997</v>
      </c>
      <c r="BQ131" s="244" t="str">
        <f t="shared" si="12"/>
        <v>{[14_18B]:[P313]}</v>
      </c>
      <c r="BR131" s="42" t="str">
        <f t="shared" si="13"/>
        <v>Remo PS3 Clear Batter</v>
      </c>
      <c r="CB131" s="116"/>
      <c r="CC131" s="12" t="s">
        <v>56</v>
      </c>
      <c r="CD131" s="12" t="s">
        <v>128</v>
      </c>
      <c r="CE131" s="12" t="s">
        <v>995</v>
      </c>
      <c r="CF131" s="244" t="s">
        <v>1481</v>
      </c>
      <c r="CG131" s="42" t="s">
        <v>1416</v>
      </c>
    </row>
    <row r="132" spans="7:85" x14ac:dyDescent="0.3">
      <c r="G132" s="12" t="s">
        <v>19</v>
      </c>
      <c r="H132" s="12" t="s">
        <v>288</v>
      </c>
      <c r="I132" s="12" t="s">
        <v>60</v>
      </c>
      <c r="J132" s="129" t="str">
        <f t="shared" si="14"/>
        <v>Matching Hoop</v>
      </c>
      <c r="K132" s="129"/>
      <c r="L132" s="129"/>
      <c r="O132" s="13"/>
      <c r="P132" s="12"/>
      <c r="Q132" s="129"/>
      <c r="X132" s="9"/>
      <c r="Y132" s="9"/>
      <c r="Z132" s="129"/>
      <c r="AD132" s="144"/>
      <c r="AE132" s="13"/>
      <c r="AF132" s="13"/>
      <c r="AG132" s="129"/>
      <c r="AO132" s="14" t="s">
        <v>561</v>
      </c>
      <c r="AP132" s="12" t="s">
        <v>85</v>
      </c>
      <c r="AQ132" s="14" t="s">
        <v>22</v>
      </c>
      <c r="AR132" s="12" t="s">
        <v>948</v>
      </c>
      <c r="AS132" s="129" t="s">
        <v>1340</v>
      </c>
      <c r="BN132" s="154" t="str">
        <f t="shared" ref="BN132:BN195" si="15">CONCATENATE("L",RIGHT(BO132,1))</f>
        <v>LB</v>
      </c>
      <c r="BO132" s="12" t="s">
        <v>51</v>
      </c>
      <c r="BP132" s="12" t="s">
        <v>997</v>
      </c>
      <c r="BQ132" s="244" t="str">
        <f t="shared" ref="BQ132:BQ195" si="16">CONCATENATE("{[",BO132,"]:[",BP132,"]}")</f>
        <v>{[16_18B]:[P313]}</v>
      </c>
      <c r="BR132" s="42" t="str">
        <f t="shared" si="13"/>
        <v>Remo PS3 Clear Batter</v>
      </c>
      <c r="CB132" s="116"/>
      <c r="CC132" s="12" t="s">
        <v>56</v>
      </c>
      <c r="CD132" s="12" t="s">
        <v>129</v>
      </c>
      <c r="CE132" s="12" t="s">
        <v>995</v>
      </c>
      <c r="CF132" s="244" t="s">
        <v>1482</v>
      </c>
      <c r="CG132" s="42" t="s">
        <v>1416</v>
      </c>
    </row>
    <row r="133" spans="7:85" x14ac:dyDescent="0.3">
      <c r="G133" s="12" t="s">
        <v>15</v>
      </c>
      <c r="H133" s="12" t="s">
        <v>335</v>
      </c>
      <c r="I133" s="12" t="s">
        <v>902</v>
      </c>
      <c r="J133" s="129" t="str">
        <f t="shared" si="14"/>
        <v>Satin Sable w/Inlay</v>
      </c>
      <c r="K133" s="129"/>
      <c r="L133" s="129"/>
      <c r="O133" s="13"/>
      <c r="P133" s="12"/>
      <c r="Q133" s="129"/>
      <c r="X133" s="9"/>
      <c r="Y133" s="9"/>
      <c r="Z133" s="129"/>
      <c r="AD133" s="144"/>
      <c r="AE133" s="13"/>
      <c r="AF133" s="13"/>
      <c r="AG133" s="129"/>
      <c r="AO133" s="14" t="s">
        <v>561</v>
      </c>
      <c r="AP133" s="12" t="s">
        <v>85</v>
      </c>
      <c r="AQ133" s="14" t="s">
        <v>22</v>
      </c>
      <c r="AR133" s="12" t="s">
        <v>946</v>
      </c>
      <c r="AS133" s="129" t="s">
        <v>1339</v>
      </c>
      <c r="BN133" s="154" t="str">
        <f t="shared" si="15"/>
        <v>LB</v>
      </c>
      <c r="BO133" s="12" t="s">
        <v>54</v>
      </c>
      <c r="BP133" s="12" t="s">
        <v>997</v>
      </c>
      <c r="BQ133" s="244" t="str">
        <f t="shared" si="16"/>
        <v>{[12_20B]:[P313]}</v>
      </c>
      <c r="BR133" s="42" t="str">
        <f t="shared" ref="BR133:BR196" si="17">VLOOKUP(BP133,$BJ$4:$BK$13,2,FALSE)</f>
        <v>Remo PS3 Clear Batter</v>
      </c>
      <c r="CB133" s="116"/>
      <c r="CC133" s="12" t="s">
        <v>56</v>
      </c>
      <c r="CD133" s="12" t="s">
        <v>131</v>
      </c>
      <c r="CE133" s="12" t="s">
        <v>995</v>
      </c>
      <c r="CF133" s="244" t="s">
        <v>1483</v>
      </c>
      <c r="CG133" s="42" t="s">
        <v>1416</v>
      </c>
    </row>
    <row r="134" spans="7:85" x14ac:dyDescent="0.3">
      <c r="G134" s="12" t="s">
        <v>15</v>
      </c>
      <c r="H134" s="12" t="s">
        <v>335</v>
      </c>
      <c r="I134" s="12" t="s">
        <v>904</v>
      </c>
      <c r="J134" s="129" t="str">
        <f t="shared" si="14"/>
        <v>Satin Natural w/Inlay</v>
      </c>
      <c r="K134" s="129"/>
      <c r="L134" s="129"/>
      <c r="O134" s="13"/>
      <c r="P134" s="12"/>
      <c r="Q134" s="129"/>
      <c r="X134" s="9"/>
      <c r="Y134" s="9"/>
      <c r="Z134" s="129"/>
      <c r="AD134" s="144"/>
      <c r="AE134" s="15"/>
      <c r="AF134" s="15"/>
      <c r="AG134" s="129"/>
      <c r="AO134" s="14" t="s">
        <v>561</v>
      </c>
      <c r="AP134" s="12" t="s">
        <v>85</v>
      </c>
      <c r="AQ134" s="14" t="s">
        <v>22</v>
      </c>
      <c r="AR134" s="12" t="s">
        <v>950</v>
      </c>
      <c r="AS134" s="129" t="s">
        <v>1341</v>
      </c>
      <c r="BN134" s="154" t="str">
        <f t="shared" si="15"/>
        <v>LB</v>
      </c>
      <c r="BO134" s="12" t="s">
        <v>58</v>
      </c>
      <c r="BP134" s="12" t="s">
        <v>997</v>
      </c>
      <c r="BQ134" s="244" t="str">
        <f t="shared" si="16"/>
        <v>{[14_20B]:[P313]}</v>
      </c>
      <c r="BR134" s="42" t="str">
        <f t="shared" si="17"/>
        <v>Remo PS3 Clear Batter</v>
      </c>
      <c r="CB134" s="116"/>
      <c r="CC134" s="9" t="s">
        <v>70</v>
      </c>
      <c r="CD134" s="12" t="s">
        <v>206</v>
      </c>
      <c r="CE134" s="16" t="s">
        <v>996</v>
      </c>
      <c r="CF134" s="244" t="s">
        <v>1484</v>
      </c>
      <c r="CG134" s="42" t="s">
        <v>1432</v>
      </c>
    </row>
    <row r="135" spans="7:85" x14ac:dyDescent="0.3">
      <c r="G135" s="12" t="s">
        <v>15</v>
      </c>
      <c r="H135" s="12" t="s">
        <v>335</v>
      </c>
      <c r="I135" s="12" t="s">
        <v>26</v>
      </c>
      <c r="J135" s="129" t="str">
        <f t="shared" si="14"/>
        <v>Satin Sable</v>
      </c>
      <c r="K135" s="129"/>
      <c r="L135" s="129"/>
      <c r="O135" s="13"/>
      <c r="P135" s="12"/>
      <c r="Q135" s="129"/>
      <c r="X135" s="9"/>
      <c r="Y135" s="9"/>
      <c r="Z135" s="129"/>
      <c r="AD135" s="144"/>
      <c r="AE135" s="15"/>
      <c r="AF135" s="15"/>
      <c r="AG135" s="129"/>
      <c r="AO135" s="14" t="s">
        <v>561</v>
      </c>
      <c r="AP135" s="12" t="s">
        <v>85</v>
      </c>
      <c r="AQ135" s="14" t="s">
        <v>22</v>
      </c>
      <c r="AR135" s="12" t="s">
        <v>954</v>
      </c>
      <c r="AS135" s="129" t="s">
        <v>1343</v>
      </c>
      <c r="BN135" s="154" t="str">
        <f t="shared" si="15"/>
        <v>LB</v>
      </c>
      <c r="BO135" s="12" t="s">
        <v>62</v>
      </c>
      <c r="BP135" s="12" t="s">
        <v>997</v>
      </c>
      <c r="BQ135" s="244" t="str">
        <f t="shared" si="16"/>
        <v>{[16_20B]:[P313]}</v>
      </c>
      <c r="BR135" s="42" t="str">
        <f t="shared" si="17"/>
        <v>Remo PS3 Clear Batter</v>
      </c>
      <c r="CB135" s="116"/>
      <c r="CC135" s="9" t="s">
        <v>70</v>
      </c>
      <c r="CD135" s="12" t="s">
        <v>132</v>
      </c>
      <c r="CE135" s="16" t="s">
        <v>996</v>
      </c>
      <c r="CF135" s="244" t="s">
        <v>1485</v>
      </c>
      <c r="CG135" s="42" t="s">
        <v>1432</v>
      </c>
    </row>
    <row r="136" spans="7:85" x14ac:dyDescent="0.3">
      <c r="G136" s="12" t="s">
        <v>15</v>
      </c>
      <c r="H136" s="12" t="s">
        <v>335</v>
      </c>
      <c r="I136" s="12" t="s">
        <v>914</v>
      </c>
      <c r="J136" s="129" t="str">
        <f t="shared" si="14"/>
        <v>Satin Sable w/Accent</v>
      </c>
      <c r="K136" s="129"/>
      <c r="L136" s="129"/>
      <c r="O136" s="13"/>
      <c r="P136" s="12"/>
      <c r="Q136" s="129"/>
      <c r="X136" s="9"/>
      <c r="Y136" s="9"/>
      <c r="Z136" s="129"/>
      <c r="AD136" s="144"/>
      <c r="AE136" s="13"/>
      <c r="AF136" s="13"/>
      <c r="AG136" s="129"/>
      <c r="AO136" s="14" t="s">
        <v>561</v>
      </c>
      <c r="AP136" s="12" t="s">
        <v>100</v>
      </c>
      <c r="AQ136" s="14" t="s">
        <v>518</v>
      </c>
      <c r="AR136" s="12" t="s">
        <v>952</v>
      </c>
      <c r="AS136" s="129" t="s">
        <v>1342</v>
      </c>
      <c r="BN136" s="154" t="str">
        <f t="shared" si="15"/>
        <v>LB</v>
      </c>
      <c r="BO136" s="12" t="s">
        <v>64</v>
      </c>
      <c r="BP136" s="12" t="s">
        <v>997</v>
      </c>
      <c r="BQ136" s="244" t="str">
        <f t="shared" si="16"/>
        <v>{[18_20B]:[P313]}</v>
      </c>
      <c r="BR136" s="42" t="str">
        <f t="shared" si="17"/>
        <v>Remo PS3 Clear Batter</v>
      </c>
      <c r="CB136" s="116"/>
      <c r="CC136" s="9" t="s">
        <v>70</v>
      </c>
      <c r="CD136" s="12" t="s">
        <v>133</v>
      </c>
      <c r="CE136" s="16" t="s">
        <v>996</v>
      </c>
      <c r="CF136" s="244" t="s">
        <v>1486</v>
      </c>
      <c r="CG136" s="42" t="s">
        <v>1432</v>
      </c>
    </row>
    <row r="137" spans="7:85" x14ac:dyDescent="0.3">
      <c r="G137" s="12" t="s">
        <v>15</v>
      </c>
      <c r="H137" s="12" t="s">
        <v>335</v>
      </c>
      <c r="I137" s="12" t="s">
        <v>321</v>
      </c>
      <c r="J137" s="129" t="str">
        <f t="shared" si="14"/>
        <v>Satin Natural</v>
      </c>
      <c r="K137" s="129"/>
      <c r="L137" s="129"/>
      <c r="O137" s="13"/>
      <c r="P137" s="12"/>
      <c r="Q137" s="129"/>
      <c r="X137" s="9"/>
      <c r="Y137" s="9"/>
      <c r="Z137" s="129"/>
      <c r="AD137" s="144"/>
      <c r="AE137" s="13"/>
      <c r="AF137" s="13"/>
      <c r="AG137" s="129"/>
      <c r="AO137" s="14" t="s">
        <v>561</v>
      </c>
      <c r="AP137" s="12" t="s">
        <v>100</v>
      </c>
      <c r="AQ137" s="14" t="s">
        <v>518</v>
      </c>
      <c r="AR137" s="12" t="s">
        <v>948</v>
      </c>
      <c r="AS137" s="129" t="s">
        <v>1340</v>
      </c>
      <c r="BN137" s="154" t="str">
        <f t="shared" si="15"/>
        <v>LB</v>
      </c>
      <c r="BO137" s="12" t="s">
        <v>67</v>
      </c>
      <c r="BP137" s="12" t="s">
        <v>997</v>
      </c>
      <c r="BQ137" s="244" t="str">
        <f t="shared" si="16"/>
        <v>{[12_22B]:[P313]}</v>
      </c>
      <c r="BR137" s="42" t="str">
        <f t="shared" si="17"/>
        <v>Remo PS3 Clear Batter</v>
      </c>
      <c r="CB137" s="116"/>
      <c r="CC137" s="9" t="s">
        <v>70</v>
      </c>
      <c r="CD137" s="12" t="s">
        <v>207</v>
      </c>
      <c r="CE137" s="16" t="s">
        <v>996</v>
      </c>
      <c r="CF137" s="244" t="s">
        <v>1487</v>
      </c>
      <c r="CG137" s="42" t="s">
        <v>1432</v>
      </c>
    </row>
    <row r="138" spans="7:85" x14ac:dyDescent="0.3">
      <c r="G138" s="12" t="s">
        <v>15</v>
      </c>
      <c r="H138" s="12" t="s">
        <v>335</v>
      </c>
      <c r="I138" s="12" t="s">
        <v>912</v>
      </c>
      <c r="J138" s="129" t="str">
        <f t="shared" si="14"/>
        <v>Satin Natural w/Accent</v>
      </c>
      <c r="K138" s="129"/>
      <c r="L138" s="129"/>
      <c r="O138" s="13"/>
      <c r="P138" s="12"/>
      <c r="Q138" s="129"/>
      <c r="X138" s="9"/>
      <c r="Y138" s="9"/>
      <c r="Z138" s="129"/>
      <c r="AD138" s="144"/>
      <c r="AE138" s="13"/>
      <c r="AF138" s="13"/>
      <c r="AG138" s="129"/>
      <c r="AO138" s="14" t="s">
        <v>561</v>
      </c>
      <c r="AP138" s="12" t="s">
        <v>100</v>
      </c>
      <c r="AQ138" s="14" t="s">
        <v>518</v>
      </c>
      <c r="AR138" s="12" t="s">
        <v>946</v>
      </c>
      <c r="AS138" s="129" t="s">
        <v>1339</v>
      </c>
      <c r="BN138" s="154" t="str">
        <f t="shared" si="15"/>
        <v>LB</v>
      </c>
      <c r="BO138" s="12" t="s">
        <v>71</v>
      </c>
      <c r="BP138" s="12" t="s">
        <v>997</v>
      </c>
      <c r="BQ138" s="244" t="str">
        <f t="shared" si="16"/>
        <v>{[14_22B]:[P313]}</v>
      </c>
      <c r="BR138" s="42" t="str">
        <f t="shared" si="17"/>
        <v>Remo PS3 Clear Batter</v>
      </c>
      <c r="CB138" s="116"/>
      <c r="CC138" s="9" t="s">
        <v>70</v>
      </c>
      <c r="CD138" s="12" t="s">
        <v>134</v>
      </c>
      <c r="CE138" s="16" t="s">
        <v>996</v>
      </c>
      <c r="CF138" s="244" t="s">
        <v>1488</v>
      </c>
      <c r="CG138" s="42" t="s">
        <v>1432</v>
      </c>
    </row>
    <row r="139" spans="7:85" x14ac:dyDescent="0.3">
      <c r="G139" s="12" t="s">
        <v>15</v>
      </c>
      <c r="H139" s="12" t="s">
        <v>335</v>
      </c>
      <c r="I139" s="12" t="s">
        <v>309</v>
      </c>
      <c r="J139" s="129" t="str">
        <f t="shared" si="14"/>
        <v>Natural Hoop</v>
      </c>
      <c r="K139" s="129"/>
      <c r="L139" s="129"/>
      <c r="O139" s="13"/>
      <c r="P139" s="12"/>
      <c r="Q139" s="129"/>
      <c r="X139" s="9"/>
      <c r="Y139" s="9"/>
      <c r="Z139" s="129"/>
      <c r="AD139" s="144"/>
      <c r="AE139" s="15"/>
      <c r="AF139" s="15"/>
      <c r="AG139" s="129"/>
      <c r="AO139" s="14" t="s">
        <v>561</v>
      </c>
      <c r="AP139" s="12" t="s">
        <v>100</v>
      </c>
      <c r="AQ139" s="14" t="s">
        <v>518</v>
      </c>
      <c r="AR139" s="12" t="s">
        <v>950</v>
      </c>
      <c r="AS139" s="129" t="s">
        <v>1341</v>
      </c>
      <c r="BN139" s="154" t="str">
        <f t="shared" si="15"/>
        <v>LB</v>
      </c>
      <c r="BO139" s="12" t="s">
        <v>74</v>
      </c>
      <c r="BP139" s="12" t="s">
        <v>997</v>
      </c>
      <c r="BQ139" s="244" t="str">
        <f t="shared" si="16"/>
        <v>{[16_22B]:[P313]}</v>
      </c>
      <c r="BR139" s="42" t="str">
        <f t="shared" si="17"/>
        <v>Remo PS3 Clear Batter</v>
      </c>
      <c r="CB139" s="116"/>
      <c r="CC139" s="9" t="s">
        <v>70</v>
      </c>
      <c r="CD139" s="12" t="s">
        <v>136</v>
      </c>
      <c r="CE139" s="16" t="s">
        <v>996</v>
      </c>
      <c r="CF139" s="244" t="s">
        <v>1489</v>
      </c>
      <c r="CG139" s="42" t="s">
        <v>1432</v>
      </c>
    </row>
    <row r="140" spans="7:85" x14ac:dyDescent="0.3">
      <c r="G140" s="12" t="s">
        <v>15</v>
      </c>
      <c r="H140" s="12" t="s">
        <v>335</v>
      </c>
      <c r="I140" s="12" t="s">
        <v>907</v>
      </c>
      <c r="J140" s="129" t="str">
        <f t="shared" si="14"/>
        <v>Natural w/Inlay</v>
      </c>
      <c r="K140" s="129"/>
      <c r="L140" s="129"/>
      <c r="O140" s="13"/>
      <c r="P140" s="12"/>
      <c r="Q140" s="129"/>
      <c r="X140" s="9"/>
      <c r="Y140" s="9"/>
      <c r="Z140" s="129"/>
      <c r="AD140" s="144"/>
      <c r="AE140" s="15"/>
      <c r="AF140" s="15"/>
      <c r="AG140" s="129"/>
      <c r="AO140" s="14" t="s">
        <v>561</v>
      </c>
      <c r="AP140" s="12" t="s">
        <v>100</v>
      </c>
      <c r="AQ140" s="14" t="s">
        <v>518</v>
      </c>
      <c r="AR140" s="12" t="s">
        <v>954</v>
      </c>
      <c r="AS140" s="129" t="s">
        <v>1343</v>
      </c>
      <c r="BN140" s="154" t="str">
        <f t="shared" si="15"/>
        <v>LB</v>
      </c>
      <c r="BO140" s="12" t="s">
        <v>77</v>
      </c>
      <c r="BP140" s="12" t="s">
        <v>997</v>
      </c>
      <c r="BQ140" s="244" t="str">
        <f t="shared" si="16"/>
        <v>{[18_22B]:[P313]}</v>
      </c>
      <c r="BR140" s="42" t="str">
        <f t="shared" si="17"/>
        <v>Remo PS3 Clear Batter</v>
      </c>
      <c r="CC140" s="9" t="s">
        <v>70</v>
      </c>
      <c r="CD140" s="12" t="s">
        <v>137</v>
      </c>
      <c r="CE140" s="16" t="s">
        <v>996</v>
      </c>
      <c r="CF140" s="244" t="s">
        <v>1490</v>
      </c>
      <c r="CG140" s="42" t="s">
        <v>1432</v>
      </c>
    </row>
    <row r="141" spans="7:85" x14ac:dyDescent="0.3">
      <c r="G141" s="12" t="s">
        <v>15</v>
      </c>
      <c r="H141" s="12" t="s">
        <v>335</v>
      </c>
      <c r="I141" s="12" t="s">
        <v>909</v>
      </c>
      <c r="J141" s="129" t="str">
        <f t="shared" si="14"/>
        <v>Natural w/Accent</v>
      </c>
      <c r="K141" s="129"/>
      <c r="L141" s="129"/>
      <c r="O141" s="13"/>
      <c r="P141" s="12"/>
      <c r="Q141" s="129"/>
      <c r="X141" s="9"/>
      <c r="Y141" s="9"/>
      <c r="Z141" s="129"/>
      <c r="AD141" s="144"/>
      <c r="AE141" s="15"/>
      <c r="AF141" s="15"/>
      <c r="AG141" s="129"/>
      <c r="AO141" s="14" t="s">
        <v>561</v>
      </c>
      <c r="AP141" s="12" t="s">
        <v>100</v>
      </c>
      <c r="AQ141" s="14" t="s">
        <v>16</v>
      </c>
      <c r="AR141" s="12" t="s">
        <v>948</v>
      </c>
      <c r="AS141" s="129" t="s">
        <v>1340</v>
      </c>
      <c r="BN141" s="154" t="str">
        <f t="shared" si="15"/>
        <v>LB</v>
      </c>
      <c r="BO141" s="12" t="s">
        <v>81</v>
      </c>
      <c r="BP141" s="12" t="s">
        <v>997</v>
      </c>
      <c r="BQ141" s="244" t="str">
        <f t="shared" si="16"/>
        <v>{[20_22B]:[P313]}</v>
      </c>
      <c r="BR141" s="42" t="str">
        <f t="shared" si="17"/>
        <v>Remo PS3 Clear Batter</v>
      </c>
      <c r="CC141" s="9" t="s">
        <v>70</v>
      </c>
      <c r="CD141" s="12" t="s">
        <v>138</v>
      </c>
      <c r="CE141" s="16" t="s">
        <v>996</v>
      </c>
      <c r="CF141" s="244" t="s">
        <v>1491</v>
      </c>
      <c r="CG141" s="42" t="s">
        <v>1432</v>
      </c>
    </row>
    <row r="142" spans="7:85" x14ac:dyDescent="0.3">
      <c r="G142" s="12" t="s">
        <v>15</v>
      </c>
      <c r="H142" s="12" t="s">
        <v>335</v>
      </c>
      <c r="I142" s="12" t="s">
        <v>313</v>
      </c>
      <c r="J142" s="129" t="str">
        <f t="shared" si="14"/>
        <v>Sable Black</v>
      </c>
      <c r="K142" s="129"/>
      <c r="L142" s="129"/>
      <c r="O142" s="13"/>
      <c r="P142" s="12"/>
      <c r="Q142" s="129"/>
      <c r="X142" s="9"/>
      <c r="Y142" s="9"/>
      <c r="Z142" s="129"/>
      <c r="AD142" s="144"/>
      <c r="AE142" s="13"/>
      <c r="AF142" s="13"/>
      <c r="AG142" s="129"/>
      <c r="AO142" s="14" t="s">
        <v>561</v>
      </c>
      <c r="AP142" s="12" t="s">
        <v>100</v>
      </c>
      <c r="AQ142" s="14" t="s">
        <v>16</v>
      </c>
      <c r="AR142" s="12" t="s">
        <v>946</v>
      </c>
      <c r="AS142" s="129" t="s">
        <v>1339</v>
      </c>
      <c r="BN142" s="154" t="str">
        <f t="shared" si="15"/>
        <v>LB</v>
      </c>
      <c r="BO142" s="12" t="s">
        <v>83</v>
      </c>
      <c r="BP142" s="12" t="s">
        <v>997</v>
      </c>
      <c r="BQ142" s="244" t="str">
        <f t="shared" si="16"/>
        <v>{[12_24B]:[P313]}</v>
      </c>
      <c r="BR142" s="42" t="str">
        <f t="shared" si="17"/>
        <v>Remo PS3 Clear Batter</v>
      </c>
      <c r="CC142" s="9" t="s">
        <v>70</v>
      </c>
      <c r="CD142" s="12" t="s">
        <v>139</v>
      </c>
      <c r="CE142" s="16" t="s">
        <v>996</v>
      </c>
      <c r="CF142" s="244" t="s">
        <v>1492</v>
      </c>
      <c r="CG142" s="42" t="s">
        <v>1432</v>
      </c>
    </row>
    <row r="143" spans="7:85" x14ac:dyDescent="0.3">
      <c r="G143" s="12" t="s">
        <v>16</v>
      </c>
      <c r="H143" s="12" t="s">
        <v>335</v>
      </c>
      <c r="I143" s="12" t="s">
        <v>902</v>
      </c>
      <c r="J143" s="129" t="str">
        <f t="shared" si="14"/>
        <v>Satin Sable w/Inlay</v>
      </c>
      <c r="K143" s="129"/>
      <c r="L143" s="129"/>
      <c r="O143" s="13"/>
      <c r="P143" s="12"/>
      <c r="Q143" s="129"/>
      <c r="X143" s="9"/>
      <c r="Y143" s="9"/>
      <c r="Z143" s="129"/>
      <c r="AD143" s="144"/>
      <c r="AE143" s="15"/>
      <c r="AF143" s="15"/>
      <c r="AG143" s="129"/>
      <c r="AO143" s="14" t="s">
        <v>561</v>
      </c>
      <c r="AP143" s="12" t="s">
        <v>100</v>
      </c>
      <c r="AQ143" s="14" t="s">
        <v>16</v>
      </c>
      <c r="AR143" s="12" t="s">
        <v>950</v>
      </c>
      <c r="AS143" s="129" t="s">
        <v>1341</v>
      </c>
      <c r="BN143" s="154" t="str">
        <f t="shared" si="15"/>
        <v>LB</v>
      </c>
      <c r="BO143" s="12" t="s">
        <v>85</v>
      </c>
      <c r="BP143" s="12" t="s">
        <v>997</v>
      </c>
      <c r="BQ143" s="244" t="str">
        <f t="shared" si="16"/>
        <v>{[14_24B]:[P313]}</v>
      </c>
      <c r="BR143" s="42" t="str">
        <f t="shared" si="17"/>
        <v>Remo PS3 Clear Batter</v>
      </c>
      <c r="CC143" s="9" t="s">
        <v>70</v>
      </c>
      <c r="CD143" s="12" t="s">
        <v>140</v>
      </c>
      <c r="CE143" s="16" t="s">
        <v>996</v>
      </c>
      <c r="CF143" s="244" t="s">
        <v>1493</v>
      </c>
      <c r="CG143" s="42" t="s">
        <v>1432</v>
      </c>
    </row>
    <row r="144" spans="7:85" x14ac:dyDescent="0.3">
      <c r="G144" s="12" t="s">
        <v>16</v>
      </c>
      <c r="H144" s="12" t="s">
        <v>335</v>
      </c>
      <c r="I144" s="12" t="s">
        <v>904</v>
      </c>
      <c r="J144" s="129" t="str">
        <f t="shared" si="14"/>
        <v>Satin Natural w/Inlay</v>
      </c>
      <c r="K144" s="129"/>
      <c r="L144" s="129"/>
      <c r="O144" s="13"/>
      <c r="P144" s="12"/>
      <c r="Q144" s="129"/>
      <c r="X144" s="9"/>
      <c r="Y144" s="9"/>
      <c r="Z144" s="129"/>
      <c r="AD144" s="144"/>
      <c r="AE144" s="13"/>
      <c r="AF144" s="13"/>
      <c r="AG144" s="129"/>
      <c r="AO144" s="14" t="s">
        <v>561</v>
      </c>
      <c r="AP144" s="12" t="s">
        <v>100</v>
      </c>
      <c r="AQ144" s="14" t="s">
        <v>16</v>
      </c>
      <c r="AR144" s="12" t="s">
        <v>954</v>
      </c>
      <c r="AS144" s="129" t="s">
        <v>1343</v>
      </c>
      <c r="BN144" s="154" t="str">
        <f t="shared" si="15"/>
        <v>LB</v>
      </c>
      <c r="BO144" s="12" t="s">
        <v>88</v>
      </c>
      <c r="BP144" s="12" t="s">
        <v>997</v>
      </c>
      <c r="BQ144" s="244" t="str">
        <f t="shared" si="16"/>
        <v>{[16_24B]:[P313]}</v>
      </c>
      <c r="BR144" s="42" t="str">
        <f t="shared" si="17"/>
        <v>Remo PS3 Clear Batter</v>
      </c>
      <c r="CC144" s="9" t="s">
        <v>70</v>
      </c>
      <c r="CD144" s="12" t="s">
        <v>141</v>
      </c>
      <c r="CE144" s="16" t="s">
        <v>996</v>
      </c>
      <c r="CF144" s="244" t="s">
        <v>1494</v>
      </c>
      <c r="CG144" s="42" t="s">
        <v>1432</v>
      </c>
    </row>
    <row r="145" spans="7:85" x14ac:dyDescent="0.3">
      <c r="G145" s="12" t="s">
        <v>16</v>
      </c>
      <c r="H145" s="12" t="s">
        <v>335</v>
      </c>
      <c r="I145" s="12" t="s">
        <v>26</v>
      </c>
      <c r="J145" s="129" t="str">
        <f t="shared" si="14"/>
        <v>Satin Sable</v>
      </c>
      <c r="K145" s="129"/>
      <c r="L145" s="129"/>
      <c r="O145" s="13"/>
      <c r="P145" s="12"/>
      <c r="Q145" s="129"/>
      <c r="X145" s="9"/>
      <c r="Y145" s="9"/>
      <c r="Z145" s="129"/>
      <c r="AD145" s="144"/>
      <c r="AE145" s="13"/>
      <c r="AF145" s="13"/>
      <c r="AG145" s="129"/>
      <c r="AO145" s="14" t="s">
        <v>561</v>
      </c>
      <c r="AP145" s="12" t="s">
        <v>100</v>
      </c>
      <c r="AQ145" s="14" t="s">
        <v>22</v>
      </c>
      <c r="AR145" s="12" t="s">
        <v>952</v>
      </c>
      <c r="AS145" s="129" t="s">
        <v>1342</v>
      </c>
      <c r="BN145" s="154" t="str">
        <f t="shared" si="15"/>
        <v>LB</v>
      </c>
      <c r="BO145" s="12" t="s">
        <v>90</v>
      </c>
      <c r="BP145" s="12" t="s">
        <v>997</v>
      </c>
      <c r="BQ145" s="244" t="str">
        <f t="shared" si="16"/>
        <v>{[18_24B]:[P313]}</v>
      </c>
      <c r="BR145" s="42" t="str">
        <f t="shared" si="17"/>
        <v>Remo PS3 Clear Batter</v>
      </c>
      <c r="CC145" s="9" t="s">
        <v>70</v>
      </c>
      <c r="CD145" s="12" t="s">
        <v>143</v>
      </c>
      <c r="CE145" s="16" t="s">
        <v>996</v>
      </c>
      <c r="CF145" s="244" t="s">
        <v>1495</v>
      </c>
      <c r="CG145" s="42" t="s">
        <v>1432</v>
      </c>
    </row>
    <row r="146" spans="7:85" x14ac:dyDescent="0.3">
      <c r="G146" s="12" t="s">
        <v>16</v>
      </c>
      <c r="H146" s="12" t="s">
        <v>335</v>
      </c>
      <c r="I146" s="12" t="s">
        <v>914</v>
      </c>
      <c r="J146" s="129" t="str">
        <f t="shared" si="14"/>
        <v>Satin Sable w/Accent</v>
      </c>
      <c r="K146" s="129"/>
      <c r="L146" s="129"/>
      <c r="O146" s="13"/>
      <c r="P146" s="12"/>
      <c r="Q146" s="129"/>
      <c r="X146" s="9"/>
      <c r="Y146" s="9"/>
      <c r="Z146" s="129"/>
      <c r="AD146" s="144"/>
      <c r="AE146" s="13"/>
      <c r="AF146" s="13"/>
      <c r="AG146" s="129"/>
      <c r="AO146" s="14" t="s">
        <v>561</v>
      </c>
      <c r="AP146" s="12" t="s">
        <v>100</v>
      </c>
      <c r="AQ146" s="14" t="s">
        <v>22</v>
      </c>
      <c r="AR146" s="12" t="s">
        <v>948</v>
      </c>
      <c r="AS146" s="129" t="s">
        <v>1340</v>
      </c>
      <c r="BN146" s="154" t="str">
        <f t="shared" si="15"/>
        <v>LB</v>
      </c>
      <c r="BO146" s="12" t="s">
        <v>93</v>
      </c>
      <c r="BP146" s="12" t="s">
        <v>997</v>
      </c>
      <c r="BQ146" s="244" t="str">
        <f t="shared" si="16"/>
        <v>{[20_24B]:[P313]}</v>
      </c>
      <c r="BR146" s="42" t="str">
        <f t="shared" si="17"/>
        <v>Remo PS3 Clear Batter</v>
      </c>
      <c r="CC146" s="9" t="s">
        <v>70</v>
      </c>
      <c r="CD146" s="12" t="s">
        <v>144</v>
      </c>
      <c r="CE146" s="16" t="s">
        <v>996</v>
      </c>
      <c r="CF146" s="244" t="s">
        <v>1496</v>
      </c>
      <c r="CG146" s="42" t="s">
        <v>1432</v>
      </c>
    </row>
    <row r="147" spans="7:85" x14ac:dyDescent="0.3">
      <c r="G147" s="12" t="s">
        <v>16</v>
      </c>
      <c r="H147" s="12" t="s">
        <v>335</v>
      </c>
      <c r="I147" s="12" t="s">
        <v>321</v>
      </c>
      <c r="J147" s="129" t="str">
        <f t="shared" si="14"/>
        <v>Satin Natural</v>
      </c>
      <c r="K147" s="129"/>
      <c r="L147" s="129"/>
      <c r="O147" s="13"/>
      <c r="P147" s="12"/>
      <c r="Q147" s="129"/>
      <c r="X147" s="9"/>
      <c r="Y147" s="9"/>
      <c r="Z147" s="129"/>
      <c r="AD147" s="144"/>
      <c r="AE147" s="13"/>
      <c r="AF147" s="13"/>
      <c r="AG147" s="129"/>
      <c r="AO147" s="14" t="s">
        <v>561</v>
      </c>
      <c r="AP147" s="12" t="s">
        <v>100</v>
      </c>
      <c r="AQ147" s="14" t="s">
        <v>22</v>
      </c>
      <c r="AR147" s="12" t="s">
        <v>946</v>
      </c>
      <c r="AS147" s="129" t="s">
        <v>1339</v>
      </c>
      <c r="BN147" s="154" t="str">
        <f t="shared" si="15"/>
        <v>LB</v>
      </c>
      <c r="BO147" s="12" t="s">
        <v>95</v>
      </c>
      <c r="BP147" s="12" t="s">
        <v>997</v>
      </c>
      <c r="BQ147" s="244" t="str">
        <f t="shared" si="16"/>
        <v>{[12_26B]:[P313]}</v>
      </c>
      <c r="BR147" s="42" t="str">
        <f t="shared" si="17"/>
        <v>Remo PS3 Clear Batter</v>
      </c>
      <c r="CC147" s="9" t="s">
        <v>70</v>
      </c>
      <c r="CD147" s="12" t="s">
        <v>146</v>
      </c>
      <c r="CE147" s="16" t="s">
        <v>996</v>
      </c>
      <c r="CF147" s="244" t="s">
        <v>1497</v>
      </c>
      <c r="CG147" s="42" t="s">
        <v>1432</v>
      </c>
    </row>
    <row r="148" spans="7:85" x14ac:dyDescent="0.3">
      <c r="G148" s="12" t="s">
        <v>16</v>
      </c>
      <c r="H148" s="12" t="s">
        <v>335</v>
      </c>
      <c r="I148" s="12" t="s">
        <v>912</v>
      </c>
      <c r="J148" s="129" t="str">
        <f t="shared" ref="J148:J211" si="18">INDEX($C$3:$C$15,MATCH(I148,$B$3:$B$15,0))</f>
        <v>Satin Natural w/Accent</v>
      </c>
      <c r="K148" s="129"/>
      <c r="L148" s="129"/>
      <c r="O148" s="13"/>
      <c r="P148" s="12"/>
      <c r="Q148" s="129"/>
      <c r="X148" s="9"/>
      <c r="Y148" s="9"/>
      <c r="Z148" s="129"/>
      <c r="AD148" s="144"/>
      <c r="AE148" s="12"/>
      <c r="AF148" s="12"/>
      <c r="AG148" s="129"/>
      <c r="AO148" s="14" t="s">
        <v>561</v>
      </c>
      <c r="AP148" s="12" t="s">
        <v>100</v>
      </c>
      <c r="AQ148" s="14" t="s">
        <v>22</v>
      </c>
      <c r="AR148" s="12" t="s">
        <v>950</v>
      </c>
      <c r="AS148" s="129" t="s">
        <v>1341</v>
      </c>
      <c r="BN148" s="154" t="str">
        <f t="shared" si="15"/>
        <v>LB</v>
      </c>
      <c r="BO148" s="12" t="s">
        <v>100</v>
      </c>
      <c r="BP148" s="12" t="s">
        <v>997</v>
      </c>
      <c r="BQ148" s="244" t="str">
        <f t="shared" si="16"/>
        <v>{[14_26B]:[P313]}</v>
      </c>
      <c r="BR148" s="42" t="str">
        <f t="shared" si="17"/>
        <v>Remo PS3 Clear Batter</v>
      </c>
      <c r="CC148" s="9" t="s">
        <v>70</v>
      </c>
      <c r="CD148" s="12" t="s">
        <v>147</v>
      </c>
      <c r="CE148" s="16" t="s">
        <v>996</v>
      </c>
      <c r="CF148" s="244" t="s">
        <v>1498</v>
      </c>
      <c r="CG148" s="42" t="s">
        <v>1432</v>
      </c>
    </row>
    <row r="149" spans="7:85" x14ac:dyDescent="0.3">
      <c r="G149" s="12" t="s">
        <v>16</v>
      </c>
      <c r="H149" s="12" t="s">
        <v>335</v>
      </c>
      <c r="I149" s="12" t="s">
        <v>309</v>
      </c>
      <c r="J149" s="129" t="str">
        <f t="shared" si="18"/>
        <v>Natural Hoop</v>
      </c>
      <c r="K149" s="129"/>
      <c r="L149" s="129"/>
      <c r="O149" s="13"/>
      <c r="P149" s="12"/>
      <c r="Q149" s="129"/>
      <c r="X149" s="9"/>
      <c r="Y149" s="9"/>
      <c r="Z149" s="129"/>
      <c r="AD149" s="144"/>
      <c r="AE149" s="13"/>
      <c r="AF149" s="13"/>
      <c r="AG149" s="129"/>
      <c r="AO149" s="14" t="s">
        <v>561</v>
      </c>
      <c r="AP149" s="12" t="s">
        <v>100</v>
      </c>
      <c r="AQ149" s="14" t="s">
        <v>22</v>
      </c>
      <c r="AR149" s="12" t="s">
        <v>954</v>
      </c>
      <c r="AS149" s="129" t="s">
        <v>1343</v>
      </c>
      <c r="BN149" s="154" t="str">
        <f t="shared" si="15"/>
        <v>LB</v>
      </c>
      <c r="BO149" s="12" t="s">
        <v>104</v>
      </c>
      <c r="BP149" s="12" t="s">
        <v>997</v>
      </c>
      <c r="BQ149" s="244" t="str">
        <f t="shared" si="16"/>
        <v>{[16_26B]:[P313]}</v>
      </c>
      <c r="BR149" s="42" t="str">
        <f t="shared" si="17"/>
        <v>Remo PS3 Clear Batter</v>
      </c>
      <c r="CC149" s="9" t="s">
        <v>70</v>
      </c>
      <c r="CD149" s="12" t="s">
        <v>148</v>
      </c>
      <c r="CE149" s="16" t="s">
        <v>996</v>
      </c>
      <c r="CF149" s="244" t="s">
        <v>1499</v>
      </c>
      <c r="CG149" s="42" t="s">
        <v>1432</v>
      </c>
    </row>
    <row r="150" spans="7:85" x14ac:dyDescent="0.3">
      <c r="G150" s="12" t="s">
        <v>16</v>
      </c>
      <c r="H150" s="12" t="s">
        <v>335</v>
      </c>
      <c r="I150" s="12" t="s">
        <v>907</v>
      </c>
      <c r="J150" s="129" t="str">
        <f t="shared" si="18"/>
        <v>Natural w/Inlay</v>
      </c>
      <c r="K150" s="129"/>
      <c r="L150" s="129"/>
      <c r="O150" s="13"/>
      <c r="P150" s="12"/>
      <c r="Q150" s="129"/>
      <c r="X150" s="9"/>
      <c r="Y150" s="9"/>
      <c r="Z150" s="129"/>
      <c r="AD150" s="144"/>
      <c r="AE150" s="13"/>
      <c r="AF150" s="13"/>
      <c r="AG150" s="129"/>
      <c r="AO150" s="14" t="s">
        <v>561</v>
      </c>
      <c r="AP150" s="12" t="s">
        <v>439</v>
      </c>
      <c r="AQ150" s="14" t="s">
        <v>518</v>
      </c>
      <c r="AR150" s="12" t="s">
        <v>952</v>
      </c>
      <c r="AS150" s="129" t="s">
        <v>1342</v>
      </c>
      <c r="BN150" s="154" t="str">
        <f t="shared" si="15"/>
        <v>LS</v>
      </c>
      <c r="BO150" s="12" t="s">
        <v>186</v>
      </c>
      <c r="BP150" s="12" t="s">
        <v>994</v>
      </c>
      <c r="BQ150" s="244" t="str">
        <f t="shared" si="16"/>
        <v>{[6_12S]:[BA01]}</v>
      </c>
      <c r="BR150" s="42" t="str">
        <f t="shared" si="17"/>
        <v>Remo Ctd Amb Batter</v>
      </c>
      <c r="CC150" s="9" t="s">
        <v>70</v>
      </c>
      <c r="CD150" s="12" t="s">
        <v>149</v>
      </c>
      <c r="CE150" s="16" t="s">
        <v>996</v>
      </c>
      <c r="CF150" s="244" t="s">
        <v>1500</v>
      </c>
      <c r="CG150" s="42" t="s">
        <v>1432</v>
      </c>
    </row>
    <row r="151" spans="7:85" x14ac:dyDescent="0.3">
      <c r="G151" s="12" t="s">
        <v>16</v>
      </c>
      <c r="H151" s="12" t="s">
        <v>335</v>
      </c>
      <c r="I151" s="12" t="s">
        <v>909</v>
      </c>
      <c r="J151" s="129" t="str">
        <f t="shared" si="18"/>
        <v>Natural w/Accent</v>
      </c>
      <c r="K151" s="129"/>
      <c r="L151" s="129"/>
      <c r="O151" s="13"/>
      <c r="P151" s="12"/>
      <c r="Q151" s="129"/>
      <c r="X151" s="9"/>
      <c r="Y151" s="9"/>
      <c r="Z151" s="129"/>
      <c r="AD151" s="144"/>
      <c r="AE151" s="15"/>
      <c r="AF151" s="15"/>
      <c r="AG151" s="129"/>
      <c r="AO151" s="14" t="s">
        <v>561</v>
      </c>
      <c r="AP151" s="12" t="s">
        <v>439</v>
      </c>
      <c r="AQ151" s="14" t="s">
        <v>518</v>
      </c>
      <c r="AR151" s="12" t="s">
        <v>948</v>
      </c>
      <c r="AS151" s="129" t="s">
        <v>1340</v>
      </c>
      <c r="BN151" s="154" t="str">
        <f t="shared" si="15"/>
        <v>LS</v>
      </c>
      <c r="BO151" s="12" t="s">
        <v>187</v>
      </c>
      <c r="BP151" s="12" t="s">
        <v>994</v>
      </c>
      <c r="BQ151" s="244" t="str">
        <f t="shared" si="16"/>
        <v>{[3H_13S]:[BA01]}</v>
      </c>
      <c r="BR151" s="42" t="str">
        <f t="shared" si="17"/>
        <v>Remo Ctd Amb Batter</v>
      </c>
      <c r="CC151" s="9" t="s">
        <v>70</v>
      </c>
      <c r="CD151" s="12" t="s">
        <v>150</v>
      </c>
      <c r="CE151" s="16" t="s">
        <v>996</v>
      </c>
      <c r="CF151" s="244" t="s">
        <v>1501</v>
      </c>
      <c r="CG151" s="42" t="s">
        <v>1432</v>
      </c>
    </row>
    <row r="152" spans="7:85" x14ac:dyDescent="0.3">
      <c r="G152" s="12" t="s">
        <v>16</v>
      </c>
      <c r="H152" s="12" t="s">
        <v>335</v>
      </c>
      <c r="I152" s="12" t="s">
        <v>313</v>
      </c>
      <c r="J152" s="129" t="str">
        <f t="shared" si="18"/>
        <v>Sable Black</v>
      </c>
      <c r="K152" s="129"/>
      <c r="L152" s="129"/>
      <c r="O152" s="13"/>
      <c r="P152" s="12"/>
      <c r="Q152" s="129"/>
      <c r="X152" s="9"/>
      <c r="Y152" s="9"/>
      <c r="Z152" s="129"/>
      <c r="AD152" s="144"/>
      <c r="AE152" s="13"/>
      <c r="AF152" s="13"/>
      <c r="AG152" s="129"/>
      <c r="AO152" s="14" t="s">
        <v>561</v>
      </c>
      <c r="AP152" s="12" t="s">
        <v>439</v>
      </c>
      <c r="AQ152" s="14" t="s">
        <v>518</v>
      </c>
      <c r="AR152" s="12" t="s">
        <v>950</v>
      </c>
      <c r="AS152" s="129" t="s">
        <v>1341</v>
      </c>
      <c r="BN152" s="154" t="str">
        <f t="shared" si="15"/>
        <v>LS</v>
      </c>
      <c r="BO152" s="12" t="s">
        <v>189</v>
      </c>
      <c r="BP152" s="12" t="s">
        <v>994</v>
      </c>
      <c r="BQ152" s="244" t="str">
        <f t="shared" si="16"/>
        <v>{[6_13S]:[BA01]}</v>
      </c>
      <c r="BR152" s="42" t="str">
        <f t="shared" si="17"/>
        <v>Remo Ctd Amb Batter</v>
      </c>
      <c r="CC152" s="9" t="s">
        <v>70</v>
      </c>
      <c r="CD152" s="12" t="s">
        <v>151</v>
      </c>
      <c r="CE152" s="16" t="s">
        <v>996</v>
      </c>
      <c r="CF152" s="244" t="s">
        <v>1502</v>
      </c>
      <c r="CG152" s="42" t="s">
        <v>1432</v>
      </c>
    </row>
    <row r="153" spans="7:85" x14ac:dyDescent="0.3">
      <c r="G153" s="12" t="s">
        <v>17</v>
      </c>
      <c r="H153" s="12" t="s">
        <v>335</v>
      </c>
      <c r="I153" s="12" t="s">
        <v>902</v>
      </c>
      <c r="J153" s="129" t="str">
        <f t="shared" si="18"/>
        <v>Satin Sable w/Inlay</v>
      </c>
      <c r="K153" s="129"/>
      <c r="L153" s="129"/>
      <c r="O153" s="13"/>
      <c r="P153" s="12"/>
      <c r="Q153" s="129"/>
      <c r="X153" s="9"/>
      <c r="Y153" s="9"/>
      <c r="Z153" s="129"/>
      <c r="AD153" s="144"/>
      <c r="AE153" s="13"/>
      <c r="AF153" s="13"/>
      <c r="AG153" s="129"/>
      <c r="AO153" s="14" t="s">
        <v>561</v>
      </c>
      <c r="AP153" s="12" t="s">
        <v>439</v>
      </c>
      <c r="AQ153" s="14" t="s">
        <v>518</v>
      </c>
      <c r="AR153" s="12" t="s">
        <v>954</v>
      </c>
      <c r="AS153" s="129" t="s">
        <v>1343</v>
      </c>
      <c r="BN153" s="154" t="str">
        <f t="shared" si="15"/>
        <v>LS</v>
      </c>
      <c r="BO153" s="12" t="s">
        <v>191</v>
      </c>
      <c r="BP153" s="12" t="s">
        <v>994</v>
      </c>
      <c r="BQ153" s="244" t="str">
        <f t="shared" si="16"/>
        <v>{[5_14S]:[BA01]}</v>
      </c>
      <c r="BR153" s="42" t="str">
        <f t="shared" si="17"/>
        <v>Remo Ctd Amb Batter</v>
      </c>
      <c r="CC153" s="9" t="s">
        <v>70</v>
      </c>
      <c r="CD153" s="12" t="s">
        <v>157</v>
      </c>
      <c r="CE153" s="16" t="s">
        <v>996</v>
      </c>
      <c r="CF153" s="244" t="s">
        <v>1503</v>
      </c>
      <c r="CG153" s="42" t="s">
        <v>1432</v>
      </c>
    </row>
    <row r="154" spans="7:85" x14ac:dyDescent="0.3">
      <c r="G154" s="12" t="s">
        <v>17</v>
      </c>
      <c r="H154" s="12" t="s">
        <v>335</v>
      </c>
      <c r="I154" s="12" t="s">
        <v>904</v>
      </c>
      <c r="J154" s="129" t="str">
        <f t="shared" si="18"/>
        <v>Satin Natural w/Inlay</v>
      </c>
      <c r="K154" s="129"/>
      <c r="L154" s="129"/>
      <c r="O154" s="13"/>
      <c r="P154" s="12"/>
      <c r="Q154" s="129"/>
      <c r="X154" s="9"/>
      <c r="Y154" s="9"/>
      <c r="Z154" s="129"/>
      <c r="AD154" s="144"/>
      <c r="AE154" s="12"/>
      <c r="AF154" s="12"/>
      <c r="AG154" s="129"/>
      <c r="AO154" s="14" t="s">
        <v>561</v>
      </c>
      <c r="AP154" s="12" t="s">
        <v>439</v>
      </c>
      <c r="AQ154" s="14" t="s">
        <v>16</v>
      </c>
      <c r="AR154" s="12" t="s">
        <v>948</v>
      </c>
      <c r="AS154" s="129" t="s">
        <v>1340</v>
      </c>
      <c r="BN154" s="154" t="str">
        <f t="shared" si="15"/>
        <v>LS</v>
      </c>
      <c r="BO154" s="12" t="s">
        <v>196</v>
      </c>
      <c r="BP154" s="12" t="s">
        <v>994</v>
      </c>
      <c r="BQ154" s="244" t="str">
        <f t="shared" si="16"/>
        <v>{[5_14x8S]:[BA01]}</v>
      </c>
      <c r="BR154" s="42" t="str">
        <f t="shared" si="17"/>
        <v>Remo Ctd Amb Batter</v>
      </c>
      <c r="CC154" s="9" t="s">
        <v>70</v>
      </c>
      <c r="CD154" s="12" t="s">
        <v>163</v>
      </c>
      <c r="CE154" s="16" t="s">
        <v>996</v>
      </c>
      <c r="CF154" s="244" t="s">
        <v>1504</v>
      </c>
      <c r="CG154" s="42" t="s">
        <v>1432</v>
      </c>
    </row>
    <row r="155" spans="7:85" x14ac:dyDescent="0.3">
      <c r="G155" s="12" t="s">
        <v>17</v>
      </c>
      <c r="H155" s="12" t="s">
        <v>335</v>
      </c>
      <c r="I155" s="12" t="s">
        <v>26</v>
      </c>
      <c r="J155" s="129" t="str">
        <f t="shared" si="18"/>
        <v>Satin Sable</v>
      </c>
      <c r="K155" s="129"/>
      <c r="L155" s="129"/>
      <c r="O155" s="13"/>
      <c r="P155" s="12"/>
      <c r="Q155" s="129"/>
      <c r="X155" s="9"/>
      <c r="Y155" s="9"/>
      <c r="Z155" s="129"/>
      <c r="AD155" s="144"/>
      <c r="AE155" s="15"/>
      <c r="AF155" s="15"/>
      <c r="AG155" s="129"/>
      <c r="AO155" s="14" t="s">
        <v>561</v>
      </c>
      <c r="AP155" s="12" t="s">
        <v>439</v>
      </c>
      <c r="AQ155" s="14" t="s">
        <v>16</v>
      </c>
      <c r="AR155" s="12" t="s">
        <v>950</v>
      </c>
      <c r="AS155" s="129" t="s">
        <v>1341</v>
      </c>
      <c r="BN155" s="154" t="str">
        <f t="shared" si="15"/>
        <v>LS</v>
      </c>
      <c r="BO155" s="12" t="s">
        <v>197</v>
      </c>
      <c r="BP155" s="12" t="s">
        <v>994</v>
      </c>
      <c r="BQ155" s="244" t="str">
        <f t="shared" si="16"/>
        <v>{[5H_14x8S]:[BA01]}</v>
      </c>
      <c r="BR155" s="42" t="str">
        <f t="shared" si="17"/>
        <v>Remo Ctd Amb Batter</v>
      </c>
      <c r="CC155" s="9" t="s">
        <v>70</v>
      </c>
      <c r="CD155" s="12" t="s">
        <v>169</v>
      </c>
      <c r="CE155" s="16" t="s">
        <v>996</v>
      </c>
      <c r="CF155" s="244" t="s">
        <v>1505</v>
      </c>
      <c r="CG155" s="42" t="s">
        <v>1432</v>
      </c>
    </row>
    <row r="156" spans="7:85" x14ac:dyDescent="0.3">
      <c r="G156" s="12" t="s">
        <v>17</v>
      </c>
      <c r="H156" s="12" t="s">
        <v>335</v>
      </c>
      <c r="I156" s="12" t="s">
        <v>914</v>
      </c>
      <c r="J156" s="129" t="str">
        <f t="shared" si="18"/>
        <v>Satin Sable w/Accent</v>
      </c>
      <c r="K156" s="129"/>
      <c r="L156" s="129"/>
      <c r="X156" s="9"/>
      <c r="Y156" s="9"/>
      <c r="Z156" s="129"/>
      <c r="AD156" s="144"/>
      <c r="AE156" s="13"/>
      <c r="AF156" s="13"/>
      <c r="AG156" s="129"/>
      <c r="AO156" s="14" t="s">
        <v>561</v>
      </c>
      <c r="AP156" s="12" t="s">
        <v>439</v>
      </c>
      <c r="AQ156" s="14" t="s">
        <v>16</v>
      </c>
      <c r="AR156" s="12" t="s">
        <v>954</v>
      </c>
      <c r="AS156" s="129" t="s">
        <v>1343</v>
      </c>
      <c r="BN156" s="154" t="str">
        <f t="shared" si="15"/>
        <v>LS</v>
      </c>
      <c r="BO156" s="12" t="s">
        <v>193</v>
      </c>
      <c r="BP156" s="12" t="s">
        <v>994</v>
      </c>
      <c r="BQ156" s="244" t="str">
        <f t="shared" si="16"/>
        <v>{[6H_14S]:[BA01]}</v>
      </c>
      <c r="BR156" s="42" t="str">
        <f t="shared" si="17"/>
        <v>Remo Ctd Amb Batter</v>
      </c>
      <c r="CC156" s="9" t="s">
        <v>70</v>
      </c>
      <c r="CD156" s="12" t="s">
        <v>175</v>
      </c>
      <c r="CE156" s="16" t="s">
        <v>996</v>
      </c>
      <c r="CF156" s="244" t="s">
        <v>1506</v>
      </c>
      <c r="CG156" s="42" t="s">
        <v>1432</v>
      </c>
    </row>
    <row r="157" spans="7:85" x14ac:dyDescent="0.3">
      <c r="G157" s="12" t="s">
        <v>17</v>
      </c>
      <c r="H157" s="12" t="s">
        <v>335</v>
      </c>
      <c r="I157" s="12" t="s">
        <v>321</v>
      </c>
      <c r="J157" s="129" t="str">
        <f t="shared" si="18"/>
        <v>Satin Natural</v>
      </c>
      <c r="K157" s="129"/>
      <c r="L157" s="129"/>
      <c r="X157" s="9"/>
      <c r="Y157" s="9"/>
      <c r="Z157" s="129"/>
      <c r="AD157" s="144"/>
      <c r="AE157" s="13"/>
      <c r="AF157" s="13"/>
      <c r="AG157" s="129"/>
      <c r="AO157" s="14" t="s">
        <v>561</v>
      </c>
      <c r="AP157" s="12" t="s">
        <v>439</v>
      </c>
      <c r="AQ157" s="14" t="s">
        <v>22</v>
      </c>
      <c r="AR157" s="12" t="s">
        <v>952</v>
      </c>
      <c r="AS157" s="129" t="s">
        <v>1342</v>
      </c>
      <c r="BN157" s="154" t="str">
        <f t="shared" si="15"/>
        <v>LS</v>
      </c>
      <c r="BO157" s="12" t="s">
        <v>198</v>
      </c>
      <c r="BP157" s="12" t="s">
        <v>994</v>
      </c>
      <c r="BQ157" s="244" t="str">
        <f t="shared" si="16"/>
        <v>{[6H_14x8S]:[BA01]}</v>
      </c>
      <c r="BR157" s="42" t="str">
        <f t="shared" si="17"/>
        <v>Remo Ctd Amb Batter</v>
      </c>
      <c r="CC157" s="9" t="s">
        <v>70</v>
      </c>
      <c r="CD157" s="12" t="s">
        <v>176</v>
      </c>
      <c r="CE157" s="16" t="s">
        <v>996</v>
      </c>
      <c r="CF157" s="244" t="s">
        <v>1507</v>
      </c>
      <c r="CG157" s="42" t="s">
        <v>1432</v>
      </c>
    </row>
    <row r="158" spans="7:85" x14ac:dyDescent="0.3">
      <c r="G158" s="12" t="s">
        <v>17</v>
      </c>
      <c r="H158" s="12" t="s">
        <v>335</v>
      </c>
      <c r="I158" s="12" t="s">
        <v>912</v>
      </c>
      <c r="J158" s="129" t="str">
        <f t="shared" si="18"/>
        <v>Satin Natural w/Accent</v>
      </c>
      <c r="K158" s="129"/>
      <c r="L158" s="129"/>
      <c r="X158" s="9"/>
      <c r="Y158" s="9"/>
      <c r="Z158" s="129"/>
      <c r="AD158" s="144"/>
      <c r="AE158" s="13"/>
      <c r="AF158" s="13"/>
      <c r="AG158" s="129"/>
      <c r="AO158" s="14" t="s">
        <v>561</v>
      </c>
      <c r="AP158" s="12" t="s">
        <v>439</v>
      </c>
      <c r="AQ158" s="14" t="s">
        <v>22</v>
      </c>
      <c r="AR158" s="12" t="s">
        <v>948</v>
      </c>
      <c r="AS158" s="129" t="s">
        <v>1340</v>
      </c>
      <c r="BN158" s="154" t="str">
        <f t="shared" si="15"/>
        <v>LS</v>
      </c>
      <c r="BO158" s="12" t="s">
        <v>441</v>
      </c>
      <c r="BP158" s="12" t="s">
        <v>994</v>
      </c>
      <c r="BQ158" s="244" t="str">
        <f t="shared" si="16"/>
        <v>{[7_14S]:[BA01]}</v>
      </c>
      <c r="BR158" s="42" t="str">
        <f t="shared" si="17"/>
        <v>Remo Ctd Amb Batter</v>
      </c>
      <c r="CC158" s="9" t="s">
        <v>70</v>
      </c>
      <c r="CD158" s="12" t="s">
        <v>178</v>
      </c>
      <c r="CE158" s="16" t="s">
        <v>996</v>
      </c>
      <c r="CF158" s="244" t="s">
        <v>1508</v>
      </c>
      <c r="CG158" s="42" t="s">
        <v>1432</v>
      </c>
    </row>
    <row r="159" spans="7:85" x14ac:dyDescent="0.3">
      <c r="G159" s="12" t="s">
        <v>17</v>
      </c>
      <c r="H159" s="12" t="s">
        <v>335</v>
      </c>
      <c r="I159" s="12" t="s">
        <v>309</v>
      </c>
      <c r="J159" s="129" t="str">
        <f t="shared" si="18"/>
        <v>Natural Hoop</v>
      </c>
      <c r="K159" s="129"/>
      <c r="L159" s="129"/>
      <c r="X159" s="9"/>
      <c r="Y159" s="9"/>
      <c r="Z159" s="129"/>
      <c r="AD159" s="144"/>
      <c r="AE159" s="13"/>
      <c r="AF159" s="13"/>
      <c r="AG159" s="129"/>
      <c r="AO159" s="14" t="s">
        <v>561</v>
      </c>
      <c r="AP159" s="12" t="s">
        <v>439</v>
      </c>
      <c r="AQ159" s="14" t="s">
        <v>22</v>
      </c>
      <c r="AR159" s="12" t="s">
        <v>950</v>
      </c>
      <c r="AS159" s="129" t="s">
        <v>1341</v>
      </c>
      <c r="BN159" s="154" t="str">
        <f t="shared" si="15"/>
        <v>LS</v>
      </c>
      <c r="BO159" s="12" t="s">
        <v>194</v>
      </c>
      <c r="BP159" s="12" t="s">
        <v>994</v>
      </c>
      <c r="BQ159" s="244" t="str">
        <f t="shared" si="16"/>
        <v>{[8_14S]:[BA01]}</v>
      </c>
      <c r="BR159" s="42" t="str">
        <f t="shared" si="17"/>
        <v>Remo Ctd Amb Batter</v>
      </c>
      <c r="CC159" s="9" t="s">
        <v>70</v>
      </c>
      <c r="CD159" s="12" t="s">
        <v>179</v>
      </c>
      <c r="CE159" s="16" t="s">
        <v>996</v>
      </c>
      <c r="CF159" s="244" t="s">
        <v>1509</v>
      </c>
      <c r="CG159" s="42" t="s">
        <v>1432</v>
      </c>
    </row>
    <row r="160" spans="7:85" x14ac:dyDescent="0.3">
      <c r="G160" s="12" t="s">
        <v>17</v>
      </c>
      <c r="H160" s="12" t="s">
        <v>335</v>
      </c>
      <c r="I160" s="12" t="s">
        <v>907</v>
      </c>
      <c r="J160" s="129" t="str">
        <f t="shared" si="18"/>
        <v>Natural w/Inlay</v>
      </c>
      <c r="K160" s="129"/>
      <c r="L160" s="129"/>
      <c r="X160" s="9"/>
      <c r="Y160" s="9"/>
      <c r="Z160" s="129"/>
      <c r="AD160" s="144"/>
      <c r="AE160" s="13"/>
      <c r="AF160" s="141"/>
      <c r="AG160" s="129"/>
      <c r="AO160" s="14" t="s">
        <v>561</v>
      </c>
      <c r="AP160" s="12" t="s">
        <v>439</v>
      </c>
      <c r="AQ160" s="14" t="s">
        <v>22</v>
      </c>
      <c r="AR160" s="12" t="s">
        <v>954</v>
      </c>
      <c r="AS160" s="129" t="s">
        <v>1343</v>
      </c>
      <c r="BN160" s="154" t="str">
        <f t="shared" si="15"/>
        <v>LS</v>
      </c>
      <c r="BO160" s="12" t="s">
        <v>203</v>
      </c>
      <c r="BP160" s="12" t="s">
        <v>994</v>
      </c>
      <c r="BQ160" s="244" t="str">
        <f t="shared" si="16"/>
        <v>{[10_14S]:[BA01]}</v>
      </c>
      <c r="BR160" s="42" t="str">
        <f t="shared" si="17"/>
        <v>Remo Ctd Amb Batter</v>
      </c>
      <c r="CC160" s="9" t="s">
        <v>70</v>
      </c>
      <c r="CD160" s="12" t="s">
        <v>180</v>
      </c>
      <c r="CE160" s="16" t="s">
        <v>996</v>
      </c>
      <c r="CF160" s="244" t="s">
        <v>1510</v>
      </c>
      <c r="CG160" s="42" t="s">
        <v>1432</v>
      </c>
    </row>
    <row r="161" spans="7:85" x14ac:dyDescent="0.3">
      <c r="G161" s="12" t="s">
        <v>17</v>
      </c>
      <c r="H161" s="12" t="s">
        <v>335</v>
      </c>
      <c r="I161" s="12" t="s">
        <v>909</v>
      </c>
      <c r="J161" s="129" t="str">
        <f t="shared" si="18"/>
        <v>Natural w/Accent</v>
      </c>
      <c r="K161" s="129"/>
      <c r="L161" s="129"/>
      <c r="X161" s="9"/>
      <c r="Y161" s="9"/>
      <c r="Z161" s="129"/>
      <c r="AD161" s="144"/>
      <c r="AE161" s="13"/>
      <c r="AF161" s="141"/>
      <c r="AG161" s="129"/>
      <c r="AO161" s="14" t="s">
        <v>561</v>
      </c>
      <c r="AP161" s="12" t="s">
        <v>51</v>
      </c>
      <c r="AQ161" s="14" t="s">
        <v>518</v>
      </c>
      <c r="AR161" s="12" t="s">
        <v>952</v>
      </c>
      <c r="AS161" s="129" t="s">
        <v>1342</v>
      </c>
      <c r="BN161" s="154" t="str">
        <f t="shared" si="15"/>
        <v>LS</v>
      </c>
      <c r="BO161" s="12" t="s">
        <v>190</v>
      </c>
      <c r="BP161" s="12" t="s">
        <v>994</v>
      </c>
      <c r="BQ161" s="244" t="str">
        <f t="shared" si="16"/>
        <v>{[4_14S]:[BA01]}</v>
      </c>
      <c r="BR161" s="42" t="str">
        <f t="shared" si="17"/>
        <v>Remo Ctd Amb Batter</v>
      </c>
      <c r="CC161" s="9" t="s">
        <v>70</v>
      </c>
      <c r="CD161" s="12" t="s">
        <v>181</v>
      </c>
      <c r="CE161" s="16" t="s">
        <v>996</v>
      </c>
      <c r="CF161" s="244" t="s">
        <v>1511</v>
      </c>
      <c r="CG161" s="42" t="s">
        <v>1432</v>
      </c>
    </row>
    <row r="162" spans="7:85" x14ac:dyDescent="0.3">
      <c r="G162" s="12" t="s">
        <v>17</v>
      </c>
      <c r="H162" s="12" t="s">
        <v>335</v>
      </c>
      <c r="I162" s="12" t="s">
        <v>313</v>
      </c>
      <c r="J162" s="129" t="str">
        <f t="shared" si="18"/>
        <v>Sable Black</v>
      </c>
      <c r="K162" s="129"/>
      <c r="L162" s="129"/>
      <c r="X162" s="9"/>
      <c r="Y162" s="9"/>
      <c r="Z162" s="129"/>
      <c r="AD162" s="144"/>
      <c r="AE162" s="13"/>
      <c r="AF162" s="141"/>
      <c r="AG162" s="129"/>
      <c r="AO162" s="14" t="s">
        <v>561</v>
      </c>
      <c r="AP162" s="12" t="s">
        <v>51</v>
      </c>
      <c r="AQ162" s="14" t="s">
        <v>518</v>
      </c>
      <c r="AR162" s="12" t="s">
        <v>946</v>
      </c>
      <c r="AS162" s="129" t="s">
        <v>1339</v>
      </c>
      <c r="BN162" s="154" t="str">
        <f t="shared" si="15"/>
        <v>LS</v>
      </c>
      <c r="BO162" s="12" t="s">
        <v>195</v>
      </c>
      <c r="BP162" s="12" t="s">
        <v>994</v>
      </c>
      <c r="BQ162" s="244" t="str">
        <f t="shared" si="16"/>
        <v>{[4_14x8S]:[BA01]}</v>
      </c>
      <c r="BR162" s="42" t="str">
        <f t="shared" si="17"/>
        <v>Remo Ctd Amb Batter</v>
      </c>
      <c r="CC162" s="9" t="s">
        <v>70</v>
      </c>
      <c r="CD162" s="12" t="s">
        <v>182</v>
      </c>
      <c r="CE162" s="16" t="s">
        <v>996</v>
      </c>
      <c r="CF162" s="244" t="s">
        <v>1512</v>
      </c>
      <c r="CG162" s="42" t="s">
        <v>1432</v>
      </c>
    </row>
    <row r="163" spans="7:85" x14ac:dyDescent="0.3">
      <c r="G163" s="12" t="s">
        <v>19</v>
      </c>
      <c r="H163" s="12" t="s">
        <v>335</v>
      </c>
      <c r="I163" s="12" t="s">
        <v>902</v>
      </c>
      <c r="J163" s="129" t="str">
        <f t="shared" si="18"/>
        <v>Satin Sable w/Inlay</v>
      </c>
      <c r="K163" s="129"/>
      <c r="L163" s="129"/>
      <c r="X163" s="9"/>
      <c r="Y163" s="9"/>
      <c r="Z163" s="129"/>
      <c r="AD163" s="144" t="s">
        <v>1886</v>
      </c>
      <c r="AE163" s="13"/>
      <c r="AF163" s="141"/>
      <c r="AG163" s="129"/>
      <c r="AO163" s="14" t="s">
        <v>561</v>
      </c>
      <c r="AP163" s="12" t="s">
        <v>51</v>
      </c>
      <c r="AQ163" s="14" t="s">
        <v>518</v>
      </c>
      <c r="AR163" s="12" t="s">
        <v>950</v>
      </c>
      <c r="AS163" s="129" t="s">
        <v>1341</v>
      </c>
      <c r="BN163" s="154" t="str">
        <f t="shared" si="15"/>
        <v>LS</v>
      </c>
      <c r="BO163" s="12" t="s">
        <v>191</v>
      </c>
      <c r="BP163" s="12" t="s">
        <v>1396</v>
      </c>
      <c r="BQ163" s="244" t="str">
        <f t="shared" si="16"/>
        <v>{[5_14S]:[BA05]}</v>
      </c>
      <c r="BR163" s="42" t="str">
        <f t="shared" si="17"/>
        <v>Remo Ctd M5 Diplo Batter</v>
      </c>
      <c r="CC163" s="9" t="s">
        <v>70</v>
      </c>
      <c r="CD163" s="12" t="s">
        <v>183</v>
      </c>
      <c r="CE163" s="16" t="s">
        <v>996</v>
      </c>
      <c r="CF163" s="244" t="s">
        <v>1513</v>
      </c>
      <c r="CG163" s="42" t="s">
        <v>1432</v>
      </c>
    </row>
    <row r="164" spans="7:85" x14ac:dyDescent="0.3">
      <c r="G164" s="12" t="s">
        <v>19</v>
      </c>
      <c r="H164" s="12" t="s">
        <v>335</v>
      </c>
      <c r="I164" s="12" t="s">
        <v>904</v>
      </c>
      <c r="J164" s="129" t="str">
        <f t="shared" si="18"/>
        <v>Satin Natural w/Inlay</v>
      </c>
      <c r="K164" s="129"/>
      <c r="L164" s="129"/>
      <c r="X164" s="9"/>
      <c r="Y164" s="9"/>
      <c r="Z164" s="129"/>
      <c r="AO164" s="14" t="s">
        <v>561</v>
      </c>
      <c r="AP164" s="12" t="s">
        <v>51</v>
      </c>
      <c r="AQ164" s="14" t="s">
        <v>518</v>
      </c>
      <c r="AR164" s="12" t="s">
        <v>954</v>
      </c>
      <c r="AS164" s="129" t="s">
        <v>1343</v>
      </c>
      <c r="BN164" s="154" t="str">
        <f t="shared" si="15"/>
        <v>LS</v>
      </c>
      <c r="BO164" s="12" t="s">
        <v>196</v>
      </c>
      <c r="BP164" s="12" t="s">
        <v>1396</v>
      </c>
      <c r="BQ164" s="244" t="str">
        <f t="shared" si="16"/>
        <v>{[5_14x8S]:[BA05]}</v>
      </c>
      <c r="BR164" s="42" t="str">
        <f t="shared" si="17"/>
        <v>Remo Ctd M5 Diplo Batter</v>
      </c>
      <c r="CC164" s="9" t="s">
        <v>70</v>
      </c>
      <c r="CD164" s="12" t="s">
        <v>184</v>
      </c>
      <c r="CE164" s="16" t="s">
        <v>996</v>
      </c>
      <c r="CF164" s="244" t="s">
        <v>1514</v>
      </c>
      <c r="CG164" s="42" t="s">
        <v>1432</v>
      </c>
    </row>
    <row r="165" spans="7:85" x14ac:dyDescent="0.3">
      <c r="G165" s="12" t="s">
        <v>19</v>
      </c>
      <c r="H165" s="12" t="s">
        <v>335</v>
      </c>
      <c r="I165" s="12" t="s">
        <v>26</v>
      </c>
      <c r="J165" s="129" t="str">
        <f t="shared" si="18"/>
        <v>Satin Sable</v>
      </c>
      <c r="K165" s="129"/>
      <c r="L165" s="129"/>
      <c r="X165" s="9"/>
      <c r="Y165" s="9"/>
      <c r="Z165" s="129"/>
      <c r="AO165" s="14" t="s">
        <v>561</v>
      </c>
      <c r="AP165" s="12" t="s">
        <v>51</v>
      </c>
      <c r="AQ165" s="14" t="s">
        <v>16</v>
      </c>
      <c r="AR165" s="12" t="s">
        <v>946</v>
      </c>
      <c r="AS165" s="129" t="s">
        <v>1339</v>
      </c>
      <c r="BN165" s="154" t="str">
        <f t="shared" si="15"/>
        <v>LS</v>
      </c>
      <c r="BO165" s="12" t="s">
        <v>197</v>
      </c>
      <c r="BP165" s="12" t="s">
        <v>1396</v>
      </c>
      <c r="BQ165" s="244" t="str">
        <f t="shared" si="16"/>
        <v>{[5H_14x8S]:[BA05]}</v>
      </c>
      <c r="BR165" s="42" t="str">
        <f t="shared" si="17"/>
        <v>Remo Ctd M5 Diplo Batter</v>
      </c>
      <c r="CC165" s="9" t="s">
        <v>70</v>
      </c>
      <c r="CD165" s="12" t="s">
        <v>205</v>
      </c>
      <c r="CE165" s="16" t="s">
        <v>996</v>
      </c>
      <c r="CF165" s="244" t="s">
        <v>1515</v>
      </c>
      <c r="CG165" s="42" t="s">
        <v>1432</v>
      </c>
    </row>
    <row r="166" spans="7:85" x14ac:dyDescent="0.3">
      <c r="G166" s="12" t="s">
        <v>19</v>
      </c>
      <c r="H166" s="12" t="s">
        <v>335</v>
      </c>
      <c r="I166" s="12" t="s">
        <v>914</v>
      </c>
      <c r="J166" s="129" t="str">
        <f t="shared" si="18"/>
        <v>Satin Sable w/Accent</v>
      </c>
      <c r="K166" s="129"/>
      <c r="L166" s="129"/>
      <c r="X166" s="9"/>
      <c r="Y166" s="9"/>
      <c r="Z166" s="129"/>
      <c r="AO166" s="14" t="s">
        <v>561</v>
      </c>
      <c r="AP166" s="12" t="s">
        <v>51</v>
      </c>
      <c r="AQ166" s="14" t="s">
        <v>16</v>
      </c>
      <c r="AR166" s="12" t="s">
        <v>950</v>
      </c>
      <c r="AS166" s="129" t="s">
        <v>1341</v>
      </c>
      <c r="BN166" s="154" t="str">
        <f t="shared" si="15"/>
        <v>LS</v>
      </c>
      <c r="BO166" s="12" t="s">
        <v>193</v>
      </c>
      <c r="BP166" s="12" t="s">
        <v>1396</v>
      </c>
      <c r="BQ166" s="244" t="str">
        <f t="shared" si="16"/>
        <v>{[6H_14S]:[BA05]}</v>
      </c>
      <c r="BR166" s="42" t="str">
        <f t="shared" si="17"/>
        <v>Remo Ctd M5 Diplo Batter</v>
      </c>
      <c r="CC166" s="12" t="s">
        <v>56</v>
      </c>
      <c r="CD166" s="12" t="s">
        <v>110</v>
      </c>
      <c r="CE166" s="16" t="s">
        <v>996</v>
      </c>
      <c r="CF166" s="244" t="s">
        <v>1516</v>
      </c>
      <c r="CG166" s="42" t="s">
        <v>1432</v>
      </c>
    </row>
    <row r="167" spans="7:85" x14ac:dyDescent="0.3">
      <c r="G167" s="12" t="s">
        <v>19</v>
      </c>
      <c r="H167" s="12" t="s">
        <v>335</v>
      </c>
      <c r="I167" s="12" t="s">
        <v>321</v>
      </c>
      <c r="J167" s="129" t="str">
        <f t="shared" si="18"/>
        <v>Satin Natural</v>
      </c>
      <c r="K167" s="129"/>
      <c r="L167" s="129"/>
      <c r="X167" s="9"/>
      <c r="Y167" s="9"/>
      <c r="Z167" s="129"/>
      <c r="AO167" s="14" t="s">
        <v>561</v>
      </c>
      <c r="AP167" s="12" t="s">
        <v>51</v>
      </c>
      <c r="AQ167" s="14" t="s">
        <v>16</v>
      </c>
      <c r="AR167" s="12" t="s">
        <v>954</v>
      </c>
      <c r="AS167" s="129" t="s">
        <v>1343</v>
      </c>
      <c r="BN167" s="154" t="str">
        <f t="shared" si="15"/>
        <v>LS</v>
      </c>
      <c r="BO167" s="12" t="s">
        <v>198</v>
      </c>
      <c r="BP167" s="12" t="s">
        <v>1396</v>
      </c>
      <c r="BQ167" s="244" t="str">
        <f t="shared" si="16"/>
        <v>{[6H_14x8S]:[BA05]}</v>
      </c>
      <c r="BR167" s="42" t="str">
        <f t="shared" si="17"/>
        <v>Remo Ctd M5 Diplo Batter</v>
      </c>
      <c r="CC167" s="12" t="s">
        <v>56</v>
      </c>
      <c r="CD167" s="12" t="s">
        <v>113</v>
      </c>
      <c r="CE167" s="16" t="s">
        <v>996</v>
      </c>
      <c r="CF167" s="244" t="s">
        <v>1517</v>
      </c>
      <c r="CG167" s="42" t="s">
        <v>1432</v>
      </c>
    </row>
    <row r="168" spans="7:85" x14ac:dyDescent="0.3">
      <c r="G168" s="12" t="s">
        <v>19</v>
      </c>
      <c r="H168" s="12" t="s">
        <v>335</v>
      </c>
      <c r="I168" s="12" t="s">
        <v>912</v>
      </c>
      <c r="J168" s="129" t="str">
        <f t="shared" si="18"/>
        <v>Satin Natural w/Accent</v>
      </c>
      <c r="K168" s="129"/>
      <c r="L168" s="129"/>
      <c r="X168" s="9"/>
      <c r="Y168" s="9"/>
      <c r="Z168" s="129"/>
      <c r="AO168" s="14" t="s">
        <v>561</v>
      </c>
      <c r="AP168" s="12" t="s">
        <v>51</v>
      </c>
      <c r="AQ168" s="14" t="s">
        <v>22</v>
      </c>
      <c r="AR168" s="12" t="s">
        <v>952</v>
      </c>
      <c r="AS168" s="129" t="s">
        <v>1342</v>
      </c>
      <c r="BN168" s="154" t="str">
        <f t="shared" si="15"/>
        <v>LS</v>
      </c>
      <c r="BO168" s="12" t="s">
        <v>441</v>
      </c>
      <c r="BP168" s="12" t="s">
        <v>1396</v>
      </c>
      <c r="BQ168" s="244" t="str">
        <f t="shared" si="16"/>
        <v>{[7_14S]:[BA05]}</v>
      </c>
      <c r="BR168" s="42" t="str">
        <f t="shared" si="17"/>
        <v>Remo Ctd M5 Diplo Batter</v>
      </c>
      <c r="CC168" s="12" t="s">
        <v>56</v>
      </c>
      <c r="CD168" s="12" t="s">
        <v>116</v>
      </c>
      <c r="CE168" s="16" t="s">
        <v>996</v>
      </c>
      <c r="CF168" s="244" t="s">
        <v>1518</v>
      </c>
      <c r="CG168" s="42" t="s">
        <v>1432</v>
      </c>
    </row>
    <row r="169" spans="7:85" x14ac:dyDescent="0.3">
      <c r="G169" s="12" t="s">
        <v>19</v>
      </c>
      <c r="H169" s="12" t="s">
        <v>335</v>
      </c>
      <c r="I169" s="12" t="s">
        <v>309</v>
      </c>
      <c r="J169" s="129" t="str">
        <f t="shared" si="18"/>
        <v>Natural Hoop</v>
      </c>
      <c r="K169" s="129"/>
      <c r="L169" s="129"/>
      <c r="X169" s="9"/>
      <c r="Y169" s="9"/>
      <c r="Z169" s="129"/>
      <c r="AO169" s="14" t="s">
        <v>561</v>
      </c>
      <c r="AP169" s="12" t="s">
        <v>51</v>
      </c>
      <c r="AQ169" s="14" t="s">
        <v>22</v>
      </c>
      <c r="AR169" s="12" t="s">
        <v>946</v>
      </c>
      <c r="AS169" s="129" t="s">
        <v>1339</v>
      </c>
      <c r="BN169" s="154" t="str">
        <f t="shared" si="15"/>
        <v>LS</v>
      </c>
      <c r="BO169" s="12" t="s">
        <v>194</v>
      </c>
      <c r="BP169" s="12" t="s">
        <v>1396</v>
      </c>
      <c r="BQ169" s="244" t="str">
        <f t="shared" si="16"/>
        <v>{[8_14S]:[BA05]}</v>
      </c>
      <c r="BR169" s="42" t="str">
        <f t="shared" si="17"/>
        <v>Remo Ctd M5 Diplo Batter</v>
      </c>
      <c r="CC169" s="12" t="s">
        <v>56</v>
      </c>
      <c r="CD169" s="12" t="s">
        <v>118</v>
      </c>
      <c r="CE169" s="16" t="s">
        <v>996</v>
      </c>
      <c r="CF169" s="244" t="s">
        <v>1519</v>
      </c>
      <c r="CG169" s="42" t="s">
        <v>1432</v>
      </c>
    </row>
    <row r="170" spans="7:85" x14ac:dyDescent="0.3">
      <c r="G170" s="12" t="s">
        <v>19</v>
      </c>
      <c r="H170" s="12" t="s">
        <v>335</v>
      </c>
      <c r="I170" s="12" t="s">
        <v>313</v>
      </c>
      <c r="J170" s="129" t="str">
        <f t="shared" si="18"/>
        <v>Sable Black</v>
      </c>
      <c r="K170" s="129"/>
      <c r="L170" s="129"/>
      <c r="X170" s="9"/>
      <c r="Y170" s="9"/>
      <c r="Z170" s="129"/>
      <c r="AO170" s="14" t="s">
        <v>561</v>
      </c>
      <c r="AP170" s="12" t="s">
        <v>51</v>
      </c>
      <c r="AQ170" s="14" t="s">
        <v>22</v>
      </c>
      <c r="AR170" s="12" t="s">
        <v>950</v>
      </c>
      <c r="AS170" s="129" t="s">
        <v>1341</v>
      </c>
      <c r="BN170" s="154" t="str">
        <f t="shared" si="15"/>
        <v>LS</v>
      </c>
      <c r="BO170" s="12" t="s">
        <v>203</v>
      </c>
      <c r="BP170" s="12" t="s">
        <v>1396</v>
      </c>
      <c r="BQ170" s="244" t="str">
        <f t="shared" si="16"/>
        <v>{[10_14S]:[BA05]}</v>
      </c>
      <c r="BR170" s="42" t="str">
        <f t="shared" si="17"/>
        <v>Remo Ctd M5 Diplo Batter</v>
      </c>
      <c r="CC170" s="12" t="s">
        <v>56</v>
      </c>
      <c r="CD170" s="12" t="s">
        <v>122</v>
      </c>
      <c r="CE170" s="16" t="s">
        <v>996</v>
      </c>
      <c r="CF170" s="244" t="s">
        <v>1520</v>
      </c>
      <c r="CG170" s="42" t="s">
        <v>1432</v>
      </c>
    </row>
    <row r="171" spans="7:85" x14ac:dyDescent="0.3">
      <c r="G171" s="12" t="s">
        <v>15</v>
      </c>
      <c r="H171" s="12" t="s">
        <v>337</v>
      </c>
      <c r="I171" s="12" t="s">
        <v>902</v>
      </c>
      <c r="J171" s="129" t="str">
        <f t="shared" si="18"/>
        <v>Satin Sable w/Inlay</v>
      </c>
      <c r="K171" s="129"/>
      <c r="L171" s="129"/>
      <c r="X171" s="9"/>
      <c r="Y171" s="9"/>
      <c r="Z171" s="129"/>
      <c r="AO171" s="14" t="s">
        <v>561</v>
      </c>
      <c r="AP171" s="12" t="s">
        <v>51</v>
      </c>
      <c r="AQ171" s="14" t="s">
        <v>22</v>
      </c>
      <c r="AR171" s="12" t="s">
        <v>954</v>
      </c>
      <c r="AS171" s="129" t="s">
        <v>1343</v>
      </c>
      <c r="BN171" s="154" t="str">
        <f t="shared" si="15"/>
        <v>LS</v>
      </c>
      <c r="BO171" s="12" t="s">
        <v>190</v>
      </c>
      <c r="BP171" s="12" t="s">
        <v>1396</v>
      </c>
      <c r="BQ171" s="244" t="str">
        <f t="shared" si="16"/>
        <v>{[4_14S]:[BA05]}</v>
      </c>
      <c r="BR171" s="42" t="str">
        <f t="shared" si="17"/>
        <v>Remo Ctd M5 Diplo Batter</v>
      </c>
      <c r="CC171" s="12" t="s">
        <v>56</v>
      </c>
      <c r="CD171" s="12" t="s">
        <v>125</v>
      </c>
      <c r="CE171" s="16" t="s">
        <v>996</v>
      </c>
      <c r="CF171" s="244" t="s">
        <v>1521</v>
      </c>
      <c r="CG171" s="42" t="s">
        <v>1432</v>
      </c>
    </row>
    <row r="172" spans="7:85" x14ac:dyDescent="0.3">
      <c r="G172" s="12" t="s">
        <v>15</v>
      </c>
      <c r="H172" s="12" t="s">
        <v>337</v>
      </c>
      <c r="I172" s="12" t="s">
        <v>904</v>
      </c>
      <c r="J172" s="129" t="str">
        <f t="shared" si="18"/>
        <v>Satin Natural w/Inlay</v>
      </c>
      <c r="K172" s="129"/>
      <c r="L172" s="129"/>
      <c r="X172" s="9"/>
      <c r="Y172" s="9"/>
      <c r="Z172" s="129"/>
      <c r="AO172" s="14" t="s">
        <v>561</v>
      </c>
      <c r="AP172" s="12" t="s">
        <v>62</v>
      </c>
      <c r="AQ172" s="14" t="s">
        <v>518</v>
      </c>
      <c r="AR172" s="12" t="s">
        <v>952</v>
      </c>
      <c r="AS172" s="129" t="s">
        <v>1342</v>
      </c>
      <c r="BN172" s="154" t="str">
        <f t="shared" si="15"/>
        <v>LS</v>
      </c>
      <c r="BO172" s="12" t="s">
        <v>195</v>
      </c>
      <c r="BP172" s="12" t="s">
        <v>1396</v>
      </c>
      <c r="BQ172" s="244" t="str">
        <f t="shared" si="16"/>
        <v>{[4_14x8S]:[BA05]}</v>
      </c>
      <c r="BR172" s="42" t="str">
        <f t="shared" si="17"/>
        <v>Remo Ctd M5 Diplo Batter</v>
      </c>
      <c r="CC172" s="12" t="s">
        <v>56</v>
      </c>
      <c r="CD172" s="12" t="s">
        <v>126</v>
      </c>
      <c r="CE172" s="16" t="s">
        <v>996</v>
      </c>
      <c r="CF172" s="244" t="s">
        <v>1522</v>
      </c>
      <c r="CG172" s="42" t="s">
        <v>1432</v>
      </c>
    </row>
    <row r="173" spans="7:85" x14ac:dyDescent="0.3">
      <c r="G173" s="12" t="s">
        <v>15</v>
      </c>
      <c r="H173" s="12" t="s">
        <v>337</v>
      </c>
      <c r="I173" s="12" t="s">
        <v>26</v>
      </c>
      <c r="J173" s="129" t="str">
        <f t="shared" si="18"/>
        <v>Satin Sable</v>
      </c>
      <c r="K173" s="129"/>
      <c r="L173" s="129"/>
      <c r="X173" s="9"/>
      <c r="Y173" s="9"/>
      <c r="Z173" s="129"/>
      <c r="AO173" s="14" t="s">
        <v>561</v>
      </c>
      <c r="AP173" s="12" t="s">
        <v>62</v>
      </c>
      <c r="AQ173" s="14" t="s">
        <v>518</v>
      </c>
      <c r="AR173" s="12" t="s">
        <v>946</v>
      </c>
      <c r="AS173" s="129" t="s">
        <v>1339</v>
      </c>
      <c r="BN173" s="154" t="str">
        <f t="shared" si="15"/>
        <v>LB</v>
      </c>
      <c r="BO173" s="12" t="s">
        <v>45</v>
      </c>
      <c r="BP173" s="16" t="s">
        <v>1403</v>
      </c>
      <c r="BQ173" s="244" t="str">
        <f t="shared" si="16"/>
        <v>{[12_18B]:[Q4CL]}</v>
      </c>
      <c r="BR173" s="42" t="str">
        <f t="shared" si="17"/>
        <v>Evans EQ4 Clear Batter</v>
      </c>
      <c r="CC173" s="12" t="s">
        <v>56</v>
      </c>
      <c r="CD173" s="12" t="s">
        <v>128</v>
      </c>
      <c r="CE173" s="16" t="s">
        <v>996</v>
      </c>
      <c r="CF173" s="244" t="s">
        <v>1523</v>
      </c>
      <c r="CG173" s="42" t="s">
        <v>1432</v>
      </c>
    </row>
    <row r="174" spans="7:85" x14ac:dyDescent="0.3">
      <c r="G174" s="12" t="s">
        <v>15</v>
      </c>
      <c r="H174" s="12" t="s">
        <v>337</v>
      </c>
      <c r="I174" s="12" t="s">
        <v>914</v>
      </c>
      <c r="J174" s="129" t="str">
        <f t="shared" si="18"/>
        <v>Satin Sable w/Accent</v>
      </c>
      <c r="K174" s="129"/>
      <c r="L174" s="129"/>
      <c r="X174" s="9"/>
      <c r="Y174" s="9"/>
      <c r="Z174" s="129"/>
      <c r="AO174" s="14" t="s">
        <v>561</v>
      </c>
      <c r="AP174" s="12" t="s">
        <v>62</v>
      </c>
      <c r="AQ174" s="14" t="s">
        <v>518</v>
      </c>
      <c r="AR174" s="12" t="s">
        <v>950</v>
      </c>
      <c r="AS174" s="129" t="s">
        <v>1341</v>
      </c>
      <c r="BN174" s="154" t="str">
        <f t="shared" si="15"/>
        <v>LB</v>
      </c>
      <c r="BO174" s="12" t="s">
        <v>49</v>
      </c>
      <c r="BP174" s="16" t="s">
        <v>1403</v>
      </c>
      <c r="BQ174" s="244" t="str">
        <f t="shared" si="16"/>
        <v>{[14_18B]:[Q4CL]}</v>
      </c>
      <c r="BR174" s="42" t="str">
        <f t="shared" si="17"/>
        <v>Evans EQ4 Clear Batter</v>
      </c>
      <c r="CC174" s="12" t="s">
        <v>56</v>
      </c>
      <c r="CD174" s="12" t="s">
        <v>129</v>
      </c>
      <c r="CE174" s="16" t="s">
        <v>996</v>
      </c>
      <c r="CF174" s="244" t="s">
        <v>1524</v>
      </c>
      <c r="CG174" s="42" t="s">
        <v>1432</v>
      </c>
    </row>
    <row r="175" spans="7:85" x14ac:dyDescent="0.3">
      <c r="G175" s="12" t="s">
        <v>15</v>
      </c>
      <c r="H175" s="12" t="s">
        <v>337</v>
      </c>
      <c r="I175" s="12" t="s">
        <v>321</v>
      </c>
      <c r="J175" s="129" t="str">
        <f t="shared" si="18"/>
        <v>Satin Natural</v>
      </c>
      <c r="K175" s="129"/>
      <c r="L175" s="129"/>
      <c r="X175" s="9"/>
      <c r="Y175" s="9"/>
      <c r="Z175" s="129"/>
      <c r="AO175" s="14" t="s">
        <v>561</v>
      </c>
      <c r="AP175" s="12" t="s">
        <v>62</v>
      </c>
      <c r="AQ175" s="14" t="s">
        <v>518</v>
      </c>
      <c r="AR175" s="12" t="s">
        <v>954</v>
      </c>
      <c r="AS175" s="129" t="s">
        <v>1343</v>
      </c>
      <c r="BN175" s="154" t="str">
        <f t="shared" si="15"/>
        <v>LB</v>
      </c>
      <c r="BO175" s="12" t="s">
        <v>51</v>
      </c>
      <c r="BP175" s="16" t="s">
        <v>1403</v>
      </c>
      <c r="BQ175" s="244" t="str">
        <f t="shared" si="16"/>
        <v>{[16_18B]:[Q4CL]}</v>
      </c>
      <c r="BR175" s="42" t="str">
        <f t="shared" si="17"/>
        <v>Evans EQ4 Clear Batter</v>
      </c>
      <c r="CC175" s="12" t="s">
        <v>56</v>
      </c>
      <c r="CD175" s="12" t="s">
        <v>131</v>
      </c>
      <c r="CE175" s="16" t="s">
        <v>996</v>
      </c>
      <c r="CF175" s="244" t="s">
        <v>1525</v>
      </c>
      <c r="CG175" s="42" t="s">
        <v>1432</v>
      </c>
    </row>
    <row r="176" spans="7:85" x14ac:dyDescent="0.3">
      <c r="G176" s="12" t="s">
        <v>15</v>
      </c>
      <c r="H176" s="12" t="s">
        <v>337</v>
      </c>
      <c r="I176" s="12" t="s">
        <v>912</v>
      </c>
      <c r="J176" s="129" t="str">
        <f t="shared" si="18"/>
        <v>Satin Natural w/Accent</v>
      </c>
      <c r="K176" s="129"/>
      <c r="L176" s="129"/>
      <c r="X176" s="9"/>
      <c r="Y176" s="9"/>
      <c r="Z176" s="129"/>
      <c r="AO176" s="14" t="s">
        <v>561</v>
      </c>
      <c r="AP176" s="12" t="s">
        <v>62</v>
      </c>
      <c r="AQ176" s="14" t="s">
        <v>16</v>
      </c>
      <c r="AR176" s="12" t="s">
        <v>946</v>
      </c>
      <c r="AS176" s="129" t="s">
        <v>1339</v>
      </c>
      <c r="BN176" s="154" t="str">
        <f t="shared" si="15"/>
        <v>LB</v>
      </c>
      <c r="BO176" s="12" t="s">
        <v>54</v>
      </c>
      <c r="BP176" s="16" t="s">
        <v>1403</v>
      </c>
      <c r="BQ176" s="244" t="str">
        <f t="shared" si="16"/>
        <v>{[12_20B]:[Q4CL]}</v>
      </c>
      <c r="BR176" s="42" t="str">
        <f t="shared" si="17"/>
        <v>Evans EQ4 Clear Batter</v>
      </c>
      <c r="CC176" s="9" t="s">
        <v>70</v>
      </c>
      <c r="CD176" s="12" t="s">
        <v>206</v>
      </c>
      <c r="CE176" s="16" t="s">
        <v>994</v>
      </c>
      <c r="CF176" s="244" t="s">
        <v>1526</v>
      </c>
      <c r="CG176" s="42" t="s">
        <v>1433</v>
      </c>
    </row>
    <row r="177" spans="7:85" x14ac:dyDescent="0.3">
      <c r="G177" s="12" t="s">
        <v>15</v>
      </c>
      <c r="H177" s="12" t="s">
        <v>337</v>
      </c>
      <c r="I177" s="12" t="s">
        <v>309</v>
      </c>
      <c r="J177" s="129" t="str">
        <f t="shared" si="18"/>
        <v>Natural Hoop</v>
      </c>
      <c r="K177" s="129"/>
      <c r="L177" s="129"/>
      <c r="X177" s="9"/>
      <c r="Y177" s="9"/>
      <c r="Z177" s="129"/>
      <c r="AO177" s="14" t="s">
        <v>561</v>
      </c>
      <c r="AP177" s="12" t="s">
        <v>62</v>
      </c>
      <c r="AQ177" s="14" t="s">
        <v>16</v>
      </c>
      <c r="AR177" s="12" t="s">
        <v>950</v>
      </c>
      <c r="AS177" s="129" t="s">
        <v>1341</v>
      </c>
      <c r="BN177" s="154" t="str">
        <f t="shared" si="15"/>
        <v>LB</v>
      </c>
      <c r="BO177" s="12" t="s">
        <v>58</v>
      </c>
      <c r="BP177" s="16" t="s">
        <v>1403</v>
      </c>
      <c r="BQ177" s="244" t="str">
        <f t="shared" si="16"/>
        <v>{[14_20B]:[Q4CL]}</v>
      </c>
      <c r="BR177" s="42" t="str">
        <f t="shared" si="17"/>
        <v>Evans EQ4 Clear Batter</v>
      </c>
      <c r="CC177" s="9" t="s">
        <v>70</v>
      </c>
      <c r="CD177" s="12" t="s">
        <v>132</v>
      </c>
      <c r="CE177" s="16" t="s">
        <v>994</v>
      </c>
      <c r="CF177" s="244" t="s">
        <v>1527</v>
      </c>
      <c r="CG177" s="42" t="s">
        <v>1433</v>
      </c>
    </row>
    <row r="178" spans="7:85" x14ac:dyDescent="0.3">
      <c r="G178" s="12" t="s">
        <v>15</v>
      </c>
      <c r="H178" s="12" t="s">
        <v>337</v>
      </c>
      <c r="I178" s="12" t="s">
        <v>907</v>
      </c>
      <c r="J178" s="129" t="str">
        <f t="shared" si="18"/>
        <v>Natural w/Inlay</v>
      </c>
      <c r="K178" s="129"/>
      <c r="L178" s="129"/>
      <c r="X178" s="9"/>
      <c r="Y178" s="9"/>
      <c r="Z178" s="129"/>
      <c r="AO178" s="14" t="s">
        <v>561</v>
      </c>
      <c r="AP178" s="12" t="s">
        <v>62</v>
      </c>
      <c r="AQ178" s="14" t="s">
        <v>16</v>
      </c>
      <c r="AR178" s="12" t="s">
        <v>954</v>
      </c>
      <c r="AS178" s="129" t="s">
        <v>1343</v>
      </c>
      <c r="BN178" s="154" t="str">
        <f t="shared" si="15"/>
        <v>LB</v>
      </c>
      <c r="BO178" s="12" t="s">
        <v>62</v>
      </c>
      <c r="BP178" s="16" t="s">
        <v>1403</v>
      </c>
      <c r="BQ178" s="244" t="str">
        <f t="shared" si="16"/>
        <v>{[16_20B]:[Q4CL]}</v>
      </c>
      <c r="BR178" s="42" t="str">
        <f t="shared" si="17"/>
        <v>Evans EQ4 Clear Batter</v>
      </c>
      <c r="CC178" s="9" t="s">
        <v>70</v>
      </c>
      <c r="CD178" s="12" t="s">
        <v>133</v>
      </c>
      <c r="CE178" s="16" t="s">
        <v>994</v>
      </c>
      <c r="CF178" s="244" t="s">
        <v>1528</v>
      </c>
      <c r="CG178" s="42" t="s">
        <v>1433</v>
      </c>
    </row>
    <row r="179" spans="7:85" x14ac:dyDescent="0.3">
      <c r="G179" s="12" t="s">
        <v>15</v>
      </c>
      <c r="H179" s="12" t="s">
        <v>337</v>
      </c>
      <c r="I179" s="12" t="s">
        <v>909</v>
      </c>
      <c r="J179" s="129" t="str">
        <f t="shared" si="18"/>
        <v>Natural w/Accent</v>
      </c>
      <c r="K179" s="129"/>
      <c r="L179" s="129"/>
      <c r="X179" s="9"/>
      <c r="Y179" s="9"/>
      <c r="Z179" s="129"/>
      <c r="AO179" s="14" t="s">
        <v>561</v>
      </c>
      <c r="AP179" s="12" t="s">
        <v>62</v>
      </c>
      <c r="AQ179" s="14" t="s">
        <v>22</v>
      </c>
      <c r="AR179" s="12" t="s">
        <v>952</v>
      </c>
      <c r="AS179" s="129" t="s">
        <v>1342</v>
      </c>
      <c r="BN179" s="154" t="str">
        <f t="shared" si="15"/>
        <v>LB</v>
      </c>
      <c r="BO179" s="12" t="s">
        <v>64</v>
      </c>
      <c r="BP179" s="16" t="s">
        <v>1403</v>
      </c>
      <c r="BQ179" s="244" t="str">
        <f t="shared" si="16"/>
        <v>{[18_20B]:[Q4CL]}</v>
      </c>
      <c r="BR179" s="42" t="str">
        <f t="shared" si="17"/>
        <v>Evans EQ4 Clear Batter</v>
      </c>
      <c r="CC179" s="9" t="s">
        <v>70</v>
      </c>
      <c r="CD179" s="12" t="s">
        <v>207</v>
      </c>
      <c r="CE179" s="16" t="s">
        <v>994</v>
      </c>
      <c r="CF179" s="244" t="s">
        <v>1529</v>
      </c>
      <c r="CG179" s="42" t="s">
        <v>1433</v>
      </c>
    </row>
    <row r="180" spans="7:85" x14ac:dyDescent="0.3">
      <c r="G180" s="12" t="s">
        <v>15</v>
      </c>
      <c r="H180" s="12" t="s">
        <v>337</v>
      </c>
      <c r="I180" s="12" t="s">
        <v>313</v>
      </c>
      <c r="J180" s="129" t="str">
        <f t="shared" si="18"/>
        <v>Sable Black</v>
      </c>
      <c r="K180" s="129"/>
      <c r="L180" s="129"/>
      <c r="X180" s="9"/>
      <c r="Y180" s="9"/>
      <c r="Z180" s="129"/>
      <c r="AO180" s="14" t="s">
        <v>561</v>
      </c>
      <c r="AP180" s="12" t="s">
        <v>62</v>
      </c>
      <c r="AQ180" s="14" t="s">
        <v>22</v>
      </c>
      <c r="AR180" s="12" t="s">
        <v>946</v>
      </c>
      <c r="AS180" s="129" t="s">
        <v>1339</v>
      </c>
      <c r="BN180" s="154" t="str">
        <f t="shared" si="15"/>
        <v>LB</v>
      </c>
      <c r="BO180" s="12" t="s">
        <v>67</v>
      </c>
      <c r="BP180" s="16" t="s">
        <v>1403</v>
      </c>
      <c r="BQ180" s="244" t="str">
        <f t="shared" si="16"/>
        <v>{[12_22B]:[Q4CL]}</v>
      </c>
      <c r="BR180" s="42" t="str">
        <f t="shared" si="17"/>
        <v>Evans EQ4 Clear Batter</v>
      </c>
      <c r="CC180" s="9" t="s">
        <v>70</v>
      </c>
      <c r="CD180" s="12" t="s">
        <v>134</v>
      </c>
      <c r="CE180" s="16" t="s">
        <v>994</v>
      </c>
      <c r="CF180" s="244" t="s">
        <v>1530</v>
      </c>
      <c r="CG180" s="42" t="s">
        <v>1433</v>
      </c>
    </row>
    <row r="181" spans="7:85" x14ac:dyDescent="0.3">
      <c r="G181" s="12" t="s">
        <v>16</v>
      </c>
      <c r="H181" s="12" t="s">
        <v>337</v>
      </c>
      <c r="I181" s="12" t="s">
        <v>902</v>
      </c>
      <c r="J181" s="129" t="str">
        <f t="shared" si="18"/>
        <v>Satin Sable w/Inlay</v>
      </c>
      <c r="K181" s="129"/>
      <c r="L181" s="129"/>
      <c r="X181" s="9"/>
      <c r="Y181" s="9"/>
      <c r="Z181" s="129"/>
      <c r="AO181" s="14" t="s">
        <v>561</v>
      </c>
      <c r="AP181" s="12" t="s">
        <v>62</v>
      </c>
      <c r="AQ181" s="14" t="s">
        <v>22</v>
      </c>
      <c r="AR181" s="12" t="s">
        <v>950</v>
      </c>
      <c r="AS181" s="129" t="s">
        <v>1341</v>
      </c>
      <c r="BN181" s="154" t="str">
        <f t="shared" si="15"/>
        <v>LB</v>
      </c>
      <c r="BO181" s="12" t="s">
        <v>71</v>
      </c>
      <c r="BP181" s="16" t="s">
        <v>1403</v>
      </c>
      <c r="BQ181" s="244" t="str">
        <f t="shared" si="16"/>
        <v>{[14_22B]:[Q4CL]}</v>
      </c>
      <c r="BR181" s="42" t="str">
        <f t="shared" si="17"/>
        <v>Evans EQ4 Clear Batter</v>
      </c>
      <c r="CC181" s="9" t="s">
        <v>70</v>
      </c>
      <c r="CD181" s="12" t="s">
        <v>136</v>
      </c>
      <c r="CE181" s="16" t="s">
        <v>994</v>
      </c>
      <c r="CF181" s="244" t="s">
        <v>1531</v>
      </c>
      <c r="CG181" s="42" t="s">
        <v>1433</v>
      </c>
    </row>
    <row r="182" spans="7:85" x14ac:dyDescent="0.3">
      <c r="G182" s="12" t="s">
        <v>16</v>
      </c>
      <c r="H182" s="12" t="s">
        <v>337</v>
      </c>
      <c r="I182" s="12" t="s">
        <v>904</v>
      </c>
      <c r="J182" s="129" t="str">
        <f t="shared" si="18"/>
        <v>Satin Natural w/Inlay</v>
      </c>
      <c r="K182" s="129"/>
      <c r="L182" s="129"/>
      <c r="X182" s="9"/>
      <c r="Y182" s="9"/>
      <c r="Z182" s="129"/>
      <c r="AO182" s="14" t="s">
        <v>561</v>
      </c>
      <c r="AP182" s="12" t="s">
        <v>62</v>
      </c>
      <c r="AQ182" s="14" t="s">
        <v>22</v>
      </c>
      <c r="AR182" s="12" t="s">
        <v>954</v>
      </c>
      <c r="AS182" s="129" t="s">
        <v>1343</v>
      </c>
      <c r="BN182" s="154" t="str">
        <f t="shared" si="15"/>
        <v>LB</v>
      </c>
      <c r="BO182" s="12" t="s">
        <v>74</v>
      </c>
      <c r="BP182" s="16" t="s">
        <v>1403</v>
      </c>
      <c r="BQ182" s="244" t="str">
        <f t="shared" si="16"/>
        <v>{[16_22B]:[Q4CL]}</v>
      </c>
      <c r="BR182" s="42" t="str">
        <f t="shared" si="17"/>
        <v>Evans EQ4 Clear Batter</v>
      </c>
      <c r="CC182" s="9" t="s">
        <v>70</v>
      </c>
      <c r="CD182" s="12" t="s">
        <v>137</v>
      </c>
      <c r="CE182" s="16" t="s">
        <v>994</v>
      </c>
      <c r="CF182" s="244" t="s">
        <v>1532</v>
      </c>
      <c r="CG182" s="42" t="s">
        <v>1433</v>
      </c>
    </row>
    <row r="183" spans="7:85" x14ac:dyDescent="0.3">
      <c r="G183" s="12" t="s">
        <v>16</v>
      </c>
      <c r="H183" s="12" t="s">
        <v>337</v>
      </c>
      <c r="I183" s="12" t="s">
        <v>26</v>
      </c>
      <c r="J183" s="129" t="str">
        <f t="shared" si="18"/>
        <v>Satin Sable</v>
      </c>
      <c r="K183" s="129"/>
      <c r="L183" s="129"/>
      <c r="X183" s="9"/>
      <c r="Y183" s="9"/>
      <c r="Z183" s="129"/>
      <c r="AO183" s="14" t="s">
        <v>561</v>
      </c>
      <c r="AP183" s="12" t="s">
        <v>74</v>
      </c>
      <c r="AQ183" s="14" t="s">
        <v>518</v>
      </c>
      <c r="AR183" s="12" t="s">
        <v>952</v>
      </c>
      <c r="AS183" s="129" t="s">
        <v>1342</v>
      </c>
      <c r="BN183" s="154" t="str">
        <f t="shared" si="15"/>
        <v>LB</v>
      </c>
      <c r="BO183" s="12" t="s">
        <v>77</v>
      </c>
      <c r="BP183" s="16" t="s">
        <v>1403</v>
      </c>
      <c r="BQ183" s="244" t="str">
        <f t="shared" si="16"/>
        <v>{[18_22B]:[Q4CL]}</v>
      </c>
      <c r="BR183" s="42" t="str">
        <f t="shared" si="17"/>
        <v>Evans EQ4 Clear Batter</v>
      </c>
      <c r="CC183" s="9" t="s">
        <v>70</v>
      </c>
      <c r="CD183" s="12" t="s">
        <v>138</v>
      </c>
      <c r="CE183" s="16" t="s">
        <v>994</v>
      </c>
      <c r="CF183" s="244" t="s">
        <v>1533</v>
      </c>
      <c r="CG183" s="42" t="s">
        <v>1433</v>
      </c>
    </row>
    <row r="184" spans="7:85" x14ac:dyDescent="0.3">
      <c r="G184" s="12" t="s">
        <v>16</v>
      </c>
      <c r="H184" s="12" t="s">
        <v>337</v>
      </c>
      <c r="I184" s="12" t="s">
        <v>914</v>
      </c>
      <c r="J184" s="129" t="str">
        <f t="shared" si="18"/>
        <v>Satin Sable w/Accent</v>
      </c>
      <c r="K184" s="129"/>
      <c r="L184" s="129"/>
      <c r="X184" s="9"/>
      <c r="Y184" s="9"/>
      <c r="AO184" s="14" t="s">
        <v>561</v>
      </c>
      <c r="AP184" s="12" t="s">
        <v>74</v>
      </c>
      <c r="AQ184" s="14" t="s">
        <v>518</v>
      </c>
      <c r="AR184" s="12" t="s">
        <v>948</v>
      </c>
      <c r="AS184" s="129" t="s">
        <v>1340</v>
      </c>
      <c r="BN184" s="154" t="str">
        <f t="shared" si="15"/>
        <v>LB</v>
      </c>
      <c r="BO184" s="12" t="s">
        <v>81</v>
      </c>
      <c r="BP184" s="16" t="s">
        <v>1403</v>
      </c>
      <c r="BQ184" s="244" t="str">
        <f t="shared" si="16"/>
        <v>{[20_22B]:[Q4CL]}</v>
      </c>
      <c r="BR184" s="42" t="str">
        <f t="shared" si="17"/>
        <v>Evans EQ4 Clear Batter</v>
      </c>
      <c r="CC184" s="9" t="s">
        <v>70</v>
      </c>
      <c r="CD184" s="12" t="s">
        <v>139</v>
      </c>
      <c r="CE184" s="16" t="s">
        <v>994</v>
      </c>
      <c r="CF184" s="244" t="s">
        <v>1534</v>
      </c>
      <c r="CG184" s="42" t="s">
        <v>1433</v>
      </c>
    </row>
    <row r="185" spans="7:85" x14ac:dyDescent="0.3">
      <c r="G185" s="12" t="s">
        <v>16</v>
      </c>
      <c r="H185" s="12" t="s">
        <v>337</v>
      </c>
      <c r="I185" s="12" t="s">
        <v>321</v>
      </c>
      <c r="J185" s="129" t="str">
        <f t="shared" si="18"/>
        <v>Satin Natural</v>
      </c>
      <c r="K185" s="129"/>
      <c r="L185" s="129"/>
      <c r="AO185" s="14" t="s">
        <v>561</v>
      </c>
      <c r="AP185" s="12" t="s">
        <v>74</v>
      </c>
      <c r="AQ185" s="14" t="s">
        <v>518</v>
      </c>
      <c r="AR185" s="12" t="s">
        <v>946</v>
      </c>
      <c r="AS185" s="129" t="s">
        <v>1339</v>
      </c>
      <c r="BN185" s="154" t="str">
        <f t="shared" si="15"/>
        <v>LB</v>
      </c>
      <c r="BO185" s="12" t="s">
        <v>83</v>
      </c>
      <c r="BP185" s="16" t="s">
        <v>1403</v>
      </c>
      <c r="BQ185" s="244" t="str">
        <f t="shared" si="16"/>
        <v>{[12_24B]:[Q4CL]}</v>
      </c>
      <c r="BR185" s="42" t="str">
        <f t="shared" si="17"/>
        <v>Evans EQ4 Clear Batter</v>
      </c>
      <c r="CC185" s="9" t="s">
        <v>70</v>
      </c>
      <c r="CD185" s="12" t="s">
        <v>140</v>
      </c>
      <c r="CE185" s="16" t="s">
        <v>994</v>
      </c>
      <c r="CF185" s="244" t="s">
        <v>1535</v>
      </c>
      <c r="CG185" s="42" t="s">
        <v>1433</v>
      </c>
    </row>
    <row r="186" spans="7:85" x14ac:dyDescent="0.3">
      <c r="G186" s="12" t="s">
        <v>16</v>
      </c>
      <c r="H186" s="12" t="s">
        <v>337</v>
      </c>
      <c r="I186" s="12" t="s">
        <v>912</v>
      </c>
      <c r="J186" s="129" t="str">
        <f t="shared" si="18"/>
        <v>Satin Natural w/Accent</v>
      </c>
      <c r="K186" s="129"/>
      <c r="L186" s="129"/>
      <c r="AO186" s="14" t="s">
        <v>561</v>
      </c>
      <c r="AP186" s="12" t="s">
        <v>74</v>
      </c>
      <c r="AQ186" s="14" t="s">
        <v>518</v>
      </c>
      <c r="AR186" s="12" t="s">
        <v>950</v>
      </c>
      <c r="AS186" s="129" t="s">
        <v>1341</v>
      </c>
      <c r="BN186" s="154" t="str">
        <f t="shared" si="15"/>
        <v>LB</v>
      </c>
      <c r="BO186" s="12" t="s">
        <v>85</v>
      </c>
      <c r="BP186" s="16" t="s">
        <v>1403</v>
      </c>
      <c r="BQ186" s="244" t="str">
        <f t="shared" si="16"/>
        <v>{[14_24B]:[Q4CL]}</v>
      </c>
      <c r="BR186" s="42" t="str">
        <f t="shared" si="17"/>
        <v>Evans EQ4 Clear Batter</v>
      </c>
      <c r="CC186" s="9" t="s">
        <v>70</v>
      </c>
      <c r="CD186" s="12" t="s">
        <v>141</v>
      </c>
      <c r="CE186" s="16" t="s">
        <v>994</v>
      </c>
      <c r="CF186" s="244" t="s">
        <v>1536</v>
      </c>
      <c r="CG186" s="42" t="s">
        <v>1433</v>
      </c>
    </row>
    <row r="187" spans="7:85" x14ac:dyDescent="0.3">
      <c r="G187" s="12" t="s">
        <v>16</v>
      </c>
      <c r="H187" s="12" t="s">
        <v>337</v>
      </c>
      <c r="I187" s="12" t="s">
        <v>309</v>
      </c>
      <c r="J187" s="129" t="str">
        <f t="shared" si="18"/>
        <v>Natural Hoop</v>
      </c>
      <c r="K187" s="129"/>
      <c r="L187" s="129"/>
      <c r="AO187" s="14" t="s">
        <v>561</v>
      </c>
      <c r="AP187" s="12" t="s">
        <v>74</v>
      </c>
      <c r="AQ187" s="14" t="s">
        <v>518</v>
      </c>
      <c r="AR187" s="12" t="s">
        <v>954</v>
      </c>
      <c r="AS187" s="129" t="s">
        <v>1343</v>
      </c>
      <c r="BN187" s="154" t="str">
        <f t="shared" si="15"/>
        <v>LB</v>
      </c>
      <c r="BO187" s="12" t="s">
        <v>88</v>
      </c>
      <c r="BP187" s="16" t="s">
        <v>1403</v>
      </c>
      <c r="BQ187" s="244" t="str">
        <f t="shared" si="16"/>
        <v>{[16_24B]:[Q4CL]}</v>
      </c>
      <c r="BR187" s="42" t="str">
        <f t="shared" si="17"/>
        <v>Evans EQ4 Clear Batter</v>
      </c>
      <c r="CC187" s="9" t="s">
        <v>70</v>
      </c>
      <c r="CD187" s="12" t="s">
        <v>143</v>
      </c>
      <c r="CE187" s="16" t="s">
        <v>994</v>
      </c>
      <c r="CF187" s="244" t="s">
        <v>1537</v>
      </c>
      <c r="CG187" s="42" t="s">
        <v>1433</v>
      </c>
    </row>
    <row r="188" spans="7:85" x14ac:dyDescent="0.3">
      <c r="G188" s="12" t="s">
        <v>16</v>
      </c>
      <c r="H188" s="12" t="s">
        <v>337</v>
      </c>
      <c r="I188" s="12" t="s">
        <v>907</v>
      </c>
      <c r="J188" s="129" t="str">
        <f t="shared" si="18"/>
        <v>Natural w/Inlay</v>
      </c>
      <c r="K188" s="129"/>
      <c r="L188" s="129"/>
      <c r="AO188" s="14" t="s">
        <v>561</v>
      </c>
      <c r="AP188" s="12" t="s">
        <v>74</v>
      </c>
      <c r="AQ188" s="14" t="s">
        <v>16</v>
      </c>
      <c r="AR188" s="12" t="s">
        <v>948</v>
      </c>
      <c r="AS188" s="129" t="s">
        <v>1340</v>
      </c>
      <c r="BN188" s="154" t="str">
        <f t="shared" si="15"/>
        <v>LB</v>
      </c>
      <c r="BO188" s="12" t="s">
        <v>90</v>
      </c>
      <c r="BP188" s="16" t="s">
        <v>1403</v>
      </c>
      <c r="BQ188" s="244" t="str">
        <f t="shared" si="16"/>
        <v>{[18_24B]:[Q4CL]}</v>
      </c>
      <c r="BR188" s="42" t="str">
        <f t="shared" si="17"/>
        <v>Evans EQ4 Clear Batter</v>
      </c>
      <c r="CC188" s="9" t="s">
        <v>70</v>
      </c>
      <c r="CD188" s="12" t="s">
        <v>144</v>
      </c>
      <c r="CE188" s="16" t="s">
        <v>994</v>
      </c>
      <c r="CF188" s="244" t="s">
        <v>1538</v>
      </c>
      <c r="CG188" s="42" t="s">
        <v>1433</v>
      </c>
    </row>
    <row r="189" spans="7:85" x14ac:dyDescent="0.3">
      <c r="G189" s="12" t="s">
        <v>16</v>
      </c>
      <c r="H189" s="12" t="s">
        <v>337</v>
      </c>
      <c r="I189" s="12" t="s">
        <v>909</v>
      </c>
      <c r="J189" s="129" t="str">
        <f t="shared" si="18"/>
        <v>Natural w/Accent</v>
      </c>
      <c r="K189" s="129"/>
      <c r="L189" s="129"/>
      <c r="AO189" s="14" t="s">
        <v>561</v>
      </c>
      <c r="AP189" s="12" t="s">
        <v>74</v>
      </c>
      <c r="AQ189" s="14" t="s">
        <v>16</v>
      </c>
      <c r="AR189" s="12" t="s">
        <v>946</v>
      </c>
      <c r="AS189" s="129" t="s">
        <v>1339</v>
      </c>
      <c r="BN189" s="154" t="str">
        <f t="shared" si="15"/>
        <v>LB</v>
      </c>
      <c r="BO189" s="12" t="s">
        <v>93</v>
      </c>
      <c r="BP189" s="16" t="s">
        <v>1403</v>
      </c>
      <c r="BQ189" s="244" t="str">
        <f t="shared" si="16"/>
        <v>{[20_24B]:[Q4CL]}</v>
      </c>
      <c r="BR189" s="42" t="str">
        <f t="shared" si="17"/>
        <v>Evans EQ4 Clear Batter</v>
      </c>
      <c r="CC189" s="9" t="s">
        <v>70</v>
      </c>
      <c r="CD189" s="12" t="s">
        <v>146</v>
      </c>
      <c r="CE189" s="16" t="s">
        <v>994</v>
      </c>
      <c r="CF189" s="244" t="s">
        <v>1539</v>
      </c>
      <c r="CG189" s="42" t="s">
        <v>1433</v>
      </c>
    </row>
    <row r="190" spans="7:85" x14ac:dyDescent="0.3">
      <c r="G190" s="12" t="s">
        <v>16</v>
      </c>
      <c r="H190" s="12" t="s">
        <v>337</v>
      </c>
      <c r="I190" s="12" t="s">
        <v>313</v>
      </c>
      <c r="J190" s="129" t="str">
        <f t="shared" si="18"/>
        <v>Sable Black</v>
      </c>
      <c r="K190" s="129"/>
      <c r="L190" s="129"/>
      <c r="AO190" s="14" t="s">
        <v>561</v>
      </c>
      <c r="AP190" s="12" t="s">
        <v>74</v>
      </c>
      <c r="AQ190" s="14" t="s">
        <v>16</v>
      </c>
      <c r="AR190" s="12" t="s">
        <v>950</v>
      </c>
      <c r="AS190" s="129" t="s">
        <v>1341</v>
      </c>
      <c r="BN190" s="154" t="str">
        <f t="shared" si="15"/>
        <v>LB</v>
      </c>
      <c r="BO190" s="12" t="s">
        <v>95</v>
      </c>
      <c r="BP190" s="16" t="s">
        <v>1403</v>
      </c>
      <c r="BQ190" s="244" t="str">
        <f t="shared" si="16"/>
        <v>{[12_26B]:[Q4CL]}</v>
      </c>
      <c r="BR190" s="42" t="str">
        <f t="shared" si="17"/>
        <v>Evans EQ4 Clear Batter</v>
      </c>
      <c r="CC190" s="9" t="s">
        <v>70</v>
      </c>
      <c r="CD190" s="12" t="s">
        <v>147</v>
      </c>
      <c r="CE190" s="16" t="s">
        <v>994</v>
      </c>
      <c r="CF190" s="244" t="s">
        <v>1540</v>
      </c>
      <c r="CG190" s="42" t="s">
        <v>1433</v>
      </c>
    </row>
    <row r="191" spans="7:85" x14ac:dyDescent="0.3">
      <c r="G191" s="12" t="s">
        <v>17</v>
      </c>
      <c r="H191" s="12" t="s">
        <v>337</v>
      </c>
      <c r="I191" s="12" t="s">
        <v>902</v>
      </c>
      <c r="J191" s="129" t="str">
        <f t="shared" si="18"/>
        <v>Satin Sable w/Inlay</v>
      </c>
      <c r="K191" s="129"/>
      <c r="L191" s="129"/>
      <c r="AO191" s="14" t="s">
        <v>561</v>
      </c>
      <c r="AP191" s="12" t="s">
        <v>74</v>
      </c>
      <c r="AQ191" s="14" t="s">
        <v>16</v>
      </c>
      <c r="AR191" s="12" t="s">
        <v>954</v>
      </c>
      <c r="AS191" s="129" t="s">
        <v>1343</v>
      </c>
      <c r="BN191" s="154" t="str">
        <f t="shared" si="15"/>
        <v>LB</v>
      </c>
      <c r="BO191" s="12" t="s">
        <v>100</v>
      </c>
      <c r="BP191" s="16" t="s">
        <v>1403</v>
      </c>
      <c r="BQ191" s="244" t="str">
        <f t="shared" si="16"/>
        <v>{[14_26B]:[Q4CL]}</v>
      </c>
      <c r="BR191" s="42" t="str">
        <f t="shared" si="17"/>
        <v>Evans EQ4 Clear Batter</v>
      </c>
      <c r="CC191" s="9" t="s">
        <v>70</v>
      </c>
      <c r="CD191" s="12" t="s">
        <v>148</v>
      </c>
      <c r="CE191" s="16" t="s">
        <v>994</v>
      </c>
      <c r="CF191" s="244" t="s">
        <v>1541</v>
      </c>
      <c r="CG191" s="42" t="s">
        <v>1433</v>
      </c>
    </row>
    <row r="192" spans="7:85" x14ac:dyDescent="0.3">
      <c r="G192" s="12" t="s">
        <v>17</v>
      </c>
      <c r="H192" s="12" t="s">
        <v>337</v>
      </c>
      <c r="I192" s="12" t="s">
        <v>904</v>
      </c>
      <c r="J192" s="129" t="str">
        <f t="shared" si="18"/>
        <v>Satin Natural w/Inlay</v>
      </c>
      <c r="K192" s="129"/>
      <c r="L192" s="129"/>
      <c r="AO192" s="14" t="s">
        <v>561</v>
      </c>
      <c r="AP192" s="12" t="s">
        <v>74</v>
      </c>
      <c r="AQ192" s="14" t="s">
        <v>22</v>
      </c>
      <c r="AR192" s="12" t="s">
        <v>952</v>
      </c>
      <c r="AS192" s="129" t="s">
        <v>1342</v>
      </c>
      <c r="BN192" s="154" t="str">
        <f t="shared" si="15"/>
        <v>LB</v>
      </c>
      <c r="BO192" s="12" t="s">
        <v>104</v>
      </c>
      <c r="BP192" s="16" t="s">
        <v>1403</v>
      </c>
      <c r="BQ192" s="244" t="str">
        <f t="shared" si="16"/>
        <v>{[16_26B]:[Q4CL]}</v>
      </c>
      <c r="BR192" s="42" t="str">
        <f t="shared" si="17"/>
        <v>Evans EQ4 Clear Batter</v>
      </c>
      <c r="CC192" s="9" t="s">
        <v>70</v>
      </c>
      <c r="CD192" s="12" t="s">
        <v>149</v>
      </c>
      <c r="CE192" s="16" t="s">
        <v>994</v>
      </c>
      <c r="CF192" s="244" t="s">
        <v>1542</v>
      </c>
      <c r="CG192" s="42" t="s">
        <v>1433</v>
      </c>
    </row>
    <row r="193" spans="7:85" x14ac:dyDescent="0.3">
      <c r="G193" s="12" t="s">
        <v>17</v>
      </c>
      <c r="H193" s="12" t="s">
        <v>337</v>
      </c>
      <c r="I193" s="12" t="s">
        <v>26</v>
      </c>
      <c r="J193" s="129" t="str">
        <f t="shared" si="18"/>
        <v>Satin Sable</v>
      </c>
      <c r="K193" s="129"/>
      <c r="L193" s="129"/>
      <c r="AO193" s="14" t="s">
        <v>561</v>
      </c>
      <c r="AP193" s="12" t="s">
        <v>74</v>
      </c>
      <c r="AQ193" s="14" t="s">
        <v>22</v>
      </c>
      <c r="AR193" s="12" t="s">
        <v>948</v>
      </c>
      <c r="AS193" s="129" t="s">
        <v>1340</v>
      </c>
      <c r="BN193" s="154" t="str">
        <f t="shared" si="15"/>
        <v>LT</v>
      </c>
      <c r="BO193" s="12" t="s">
        <v>206</v>
      </c>
      <c r="BP193" s="16" t="s">
        <v>1405</v>
      </c>
      <c r="BQ193" s="244" t="str">
        <f t="shared" si="16"/>
        <v>{[6_6T]:[G1CW]}</v>
      </c>
      <c r="BR193" s="42" t="str">
        <f t="shared" si="17"/>
        <v>Evans G1 Coated Batter</v>
      </c>
      <c r="CC193" s="9" t="s">
        <v>70</v>
      </c>
      <c r="CD193" s="12" t="s">
        <v>150</v>
      </c>
      <c r="CE193" s="16" t="s">
        <v>994</v>
      </c>
      <c r="CF193" s="244" t="s">
        <v>1543</v>
      </c>
      <c r="CG193" s="42" t="s">
        <v>1433</v>
      </c>
    </row>
    <row r="194" spans="7:85" x14ac:dyDescent="0.3">
      <c r="G194" s="12" t="s">
        <v>17</v>
      </c>
      <c r="H194" s="12" t="s">
        <v>337</v>
      </c>
      <c r="I194" s="12" t="s">
        <v>914</v>
      </c>
      <c r="J194" s="129" t="str">
        <f t="shared" si="18"/>
        <v>Satin Sable w/Accent</v>
      </c>
      <c r="K194" s="129"/>
      <c r="L194" s="129"/>
      <c r="AO194" s="14" t="s">
        <v>561</v>
      </c>
      <c r="AP194" s="12" t="s">
        <v>74</v>
      </c>
      <c r="AQ194" s="14" t="s">
        <v>22</v>
      </c>
      <c r="AR194" s="12" t="s">
        <v>946</v>
      </c>
      <c r="AS194" s="129" t="s">
        <v>1339</v>
      </c>
      <c r="BN194" s="154" t="str">
        <f t="shared" si="15"/>
        <v>LT</v>
      </c>
      <c r="BO194" s="12" t="s">
        <v>132</v>
      </c>
      <c r="BP194" s="16" t="s">
        <v>1405</v>
      </c>
      <c r="BQ194" s="244" t="str">
        <f t="shared" si="16"/>
        <v>{[7_6T]:[G1CW]}</v>
      </c>
      <c r="BR194" s="42" t="str">
        <f t="shared" si="17"/>
        <v>Evans G1 Coated Batter</v>
      </c>
      <c r="CC194" s="9" t="s">
        <v>70</v>
      </c>
      <c r="CD194" s="12" t="s">
        <v>151</v>
      </c>
      <c r="CE194" s="16" t="s">
        <v>994</v>
      </c>
      <c r="CF194" s="244" t="s">
        <v>1544</v>
      </c>
      <c r="CG194" s="42" t="s">
        <v>1433</v>
      </c>
    </row>
    <row r="195" spans="7:85" x14ac:dyDescent="0.3">
      <c r="G195" s="12" t="s">
        <v>17</v>
      </c>
      <c r="H195" s="12" t="s">
        <v>337</v>
      </c>
      <c r="I195" s="12" t="s">
        <v>321</v>
      </c>
      <c r="J195" s="129" t="str">
        <f t="shared" si="18"/>
        <v>Satin Natural</v>
      </c>
      <c r="K195" s="129"/>
      <c r="L195" s="129"/>
      <c r="AO195" s="14" t="s">
        <v>561</v>
      </c>
      <c r="AP195" s="12" t="s">
        <v>74</v>
      </c>
      <c r="AQ195" s="14" t="s">
        <v>22</v>
      </c>
      <c r="AR195" s="12" t="s">
        <v>950</v>
      </c>
      <c r="AS195" s="129" t="s">
        <v>1341</v>
      </c>
      <c r="BN195" s="154" t="str">
        <f t="shared" si="15"/>
        <v>LT</v>
      </c>
      <c r="BO195" s="12" t="s">
        <v>133</v>
      </c>
      <c r="BP195" s="16" t="s">
        <v>1405</v>
      </c>
      <c r="BQ195" s="244" t="str">
        <f t="shared" si="16"/>
        <v>{[8_6T]:[G1CW]}</v>
      </c>
      <c r="BR195" s="42" t="str">
        <f t="shared" si="17"/>
        <v>Evans G1 Coated Batter</v>
      </c>
      <c r="CC195" s="9" t="s">
        <v>70</v>
      </c>
      <c r="CD195" s="12" t="s">
        <v>157</v>
      </c>
      <c r="CE195" s="16" t="s">
        <v>994</v>
      </c>
      <c r="CF195" s="244" t="s">
        <v>1545</v>
      </c>
      <c r="CG195" s="42" t="s">
        <v>1433</v>
      </c>
    </row>
    <row r="196" spans="7:85" x14ac:dyDescent="0.3">
      <c r="G196" s="12" t="s">
        <v>17</v>
      </c>
      <c r="H196" s="12" t="s">
        <v>337</v>
      </c>
      <c r="I196" s="12" t="s">
        <v>912</v>
      </c>
      <c r="J196" s="129" t="str">
        <f t="shared" si="18"/>
        <v>Satin Natural w/Accent</v>
      </c>
      <c r="K196" s="129"/>
      <c r="L196" s="129"/>
      <c r="AO196" s="14" t="s">
        <v>561</v>
      </c>
      <c r="AP196" s="12" t="s">
        <v>74</v>
      </c>
      <c r="AQ196" s="14" t="s">
        <v>22</v>
      </c>
      <c r="AR196" s="12" t="s">
        <v>954</v>
      </c>
      <c r="AS196" s="129" t="s">
        <v>1343</v>
      </c>
      <c r="BN196" s="154" t="str">
        <f t="shared" ref="BN196:BN259" si="19">CONCATENATE("L",RIGHT(BO196,1))</f>
        <v>LT</v>
      </c>
      <c r="BO196" s="12" t="s">
        <v>207</v>
      </c>
      <c r="BP196" s="16" t="s">
        <v>1405</v>
      </c>
      <c r="BQ196" s="244" t="str">
        <f t="shared" ref="BQ196:BQ259" si="20">CONCATENATE("{[",BO196,"]:[",BP196,"]}")</f>
        <v>{[6_8T]:[G1CW]}</v>
      </c>
      <c r="BR196" s="42" t="str">
        <f t="shared" si="17"/>
        <v>Evans G1 Coated Batter</v>
      </c>
      <c r="CC196" s="9" t="s">
        <v>70</v>
      </c>
      <c r="CD196" s="12" t="s">
        <v>163</v>
      </c>
      <c r="CE196" s="16" t="s">
        <v>994</v>
      </c>
      <c r="CF196" s="244" t="s">
        <v>1546</v>
      </c>
      <c r="CG196" s="42" t="s">
        <v>1433</v>
      </c>
    </row>
    <row r="197" spans="7:85" x14ac:dyDescent="0.3">
      <c r="G197" s="12" t="s">
        <v>17</v>
      </c>
      <c r="H197" s="12" t="s">
        <v>337</v>
      </c>
      <c r="I197" s="12" t="s">
        <v>309</v>
      </c>
      <c r="J197" s="129" t="str">
        <f t="shared" si="18"/>
        <v>Natural Hoop</v>
      </c>
      <c r="K197" s="129"/>
      <c r="L197" s="129"/>
      <c r="AO197" s="14" t="s">
        <v>561</v>
      </c>
      <c r="AP197" s="12" t="s">
        <v>88</v>
      </c>
      <c r="AQ197" s="14" t="s">
        <v>518</v>
      </c>
      <c r="AR197" s="12" t="s">
        <v>952</v>
      </c>
      <c r="AS197" s="129" t="s">
        <v>1342</v>
      </c>
      <c r="BN197" s="154" t="str">
        <f t="shared" si="19"/>
        <v>LT</v>
      </c>
      <c r="BO197" s="12" t="s">
        <v>134</v>
      </c>
      <c r="BP197" s="16" t="s">
        <v>1405</v>
      </c>
      <c r="BQ197" s="244" t="str">
        <f t="shared" si="20"/>
        <v>{[7_8T]:[G1CW]}</v>
      </c>
      <c r="BR197" s="42" t="str">
        <f t="shared" ref="BR197:BR260" si="21">VLOOKUP(BP197,$BJ$4:$BK$13,2,FALSE)</f>
        <v>Evans G1 Coated Batter</v>
      </c>
      <c r="CC197" s="9" t="s">
        <v>70</v>
      </c>
      <c r="CD197" s="12" t="s">
        <v>169</v>
      </c>
      <c r="CE197" s="16" t="s">
        <v>994</v>
      </c>
      <c r="CF197" s="244" t="s">
        <v>1547</v>
      </c>
      <c r="CG197" s="42" t="s">
        <v>1433</v>
      </c>
    </row>
    <row r="198" spans="7:85" x14ac:dyDescent="0.3">
      <c r="G198" s="12" t="s">
        <v>17</v>
      </c>
      <c r="H198" s="12" t="s">
        <v>337</v>
      </c>
      <c r="I198" s="12" t="s">
        <v>907</v>
      </c>
      <c r="J198" s="129" t="str">
        <f t="shared" si="18"/>
        <v>Natural w/Inlay</v>
      </c>
      <c r="K198" s="129"/>
      <c r="L198" s="129"/>
      <c r="AO198" s="14" t="s">
        <v>561</v>
      </c>
      <c r="AP198" s="12" t="s">
        <v>88</v>
      </c>
      <c r="AQ198" s="14" t="s">
        <v>518</v>
      </c>
      <c r="AR198" s="12" t="s">
        <v>948</v>
      </c>
      <c r="AS198" s="129" t="s">
        <v>1340</v>
      </c>
      <c r="BN198" s="154" t="str">
        <f t="shared" si="19"/>
        <v>LT</v>
      </c>
      <c r="BO198" s="12" t="s">
        <v>136</v>
      </c>
      <c r="BP198" s="16" t="s">
        <v>1405</v>
      </c>
      <c r="BQ198" s="244" t="str">
        <f t="shared" si="20"/>
        <v>{[8_8T]:[G1CW]}</v>
      </c>
      <c r="BR198" s="42" t="str">
        <f t="shared" si="21"/>
        <v>Evans G1 Coated Batter</v>
      </c>
      <c r="CC198" s="9" t="s">
        <v>70</v>
      </c>
      <c r="CD198" s="12" t="s">
        <v>175</v>
      </c>
      <c r="CE198" s="16" t="s">
        <v>994</v>
      </c>
      <c r="CF198" s="244" t="s">
        <v>1548</v>
      </c>
      <c r="CG198" s="42" t="s">
        <v>1433</v>
      </c>
    </row>
    <row r="199" spans="7:85" x14ac:dyDescent="0.3">
      <c r="G199" s="12" t="s">
        <v>17</v>
      </c>
      <c r="H199" s="12" t="s">
        <v>337</v>
      </c>
      <c r="I199" s="12" t="s">
        <v>909</v>
      </c>
      <c r="J199" s="129" t="str">
        <f t="shared" si="18"/>
        <v>Natural w/Accent</v>
      </c>
      <c r="K199" s="129"/>
      <c r="L199" s="129"/>
      <c r="AO199" s="14" t="s">
        <v>561</v>
      </c>
      <c r="AP199" s="12" t="s">
        <v>88</v>
      </c>
      <c r="AQ199" s="14" t="s">
        <v>518</v>
      </c>
      <c r="AR199" s="12" t="s">
        <v>946</v>
      </c>
      <c r="AS199" s="129" t="s">
        <v>1339</v>
      </c>
      <c r="BN199" s="154" t="str">
        <f t="shared" si="19"/>
        <v>LT</v>
      </c>
      <c r="BO199" s="12" t="s">
        <v>137</v>
      </c>
      <c r="BP199" s="16" t="s">
        <v>1405</v>
      </c>
      <c r="BQ199" s="244" t="str">
        <f t="shared" si="20"/>
        <v>{[7_10T]:[G1CW]}</v>
      </c>
      <c r="BR199" s="42" t="str">
        <f t="shared" si="21"/>
        <v>Evans G1 Coated Batter</v>
      </c>
      <c r="CC199" s="9" t="s">
        <v>70</v>
      </c>
      <c r="CD199" s="12" t="s">
        <v>176</v>
      </c>
      <c r="CE199" s="16" t="s">
        <v>994</v>
      </c>
      <c r="CF199" s="244" t="s">
        <v>1549</v>
      </c>
      <c r="CG199" s="42" t="s">
        <v>1433</v>
      </c>
    </row>
    <row r="200" spans="7:85" x14ac:dyDescent="0.3">
      <c r="G200" s="12" t="s">
        <v>17</v>
      </c>
      <c r="H200" s="12" t="s">
        <v>337</v>
      </c>
      <c r="I200" s="12" t="s">
        <v>313</v>
      </c>
      <c r="J200" s="129" t="str">
        <f t="shared" si="18"/>
        <v>Sable Black</v>
      </c>
      <c r="K200" s="129"/>
      <c r="L200" s="129"/>
      <c r="AO200" s="14" t="s">
        <v>561</v>
      </c>
      <c r="AP200" s="12" t="s">
        <v>88</v>
      </c>
      <c r="AQ200" s="14" t="s">
        <v>518</v>
      </c>
      <c r="AR200" s="12" t="s">
        <v>950</v>
      </c>
      <c r="AS200" s="129" t="s">
        <v>1341</v>
      </c>
      <c r="BN200" s="154" t="str">
        <f t="shared" si="19"/>
        <v>LT</v>
      </c>
      <c r="BO200" s="12" t="s">
        <v>138</v>
      </c>
      <c r="BP200" s="16" t="s">
        <v>1405</v>
      </c>
      <c r="BQ200" s="244" t="str">
        <f t="shared" si="20"/>
        <v>{[7H_10T]:[G1CW]}</v>
      </c>
      <c r="BR200" s="42" t="str">
        <f t="shared" si="21"/>
        <v>Evans G1 Coated Batter</v>
      </c>
      <c r="CC200" s="9" t="s">
        <v>70</v>
      </c>
      <c r="CD200" s="12" t="s">
        <v>178</v>
      </c>
      <c r="CE200" s="16" t="s">
        <v>994</v>
      </c>
      <c r="CF200" s="244" t="s">
        <v>1550</v>
      </c>
      <c r="CG200" s="42" t="s">
        <v>1433</v>
      </c>
    </row>
    <row r="201" spans="7:85" x14ac:dyDescent="0.3">
      <c r="G201" s="12" t="s">
        <v>19</v>
      </c>
      <c r="H201" s="12" t="s">
        <v>337</v>
      </c>
      <c r="I201" s="12" t="s">
        <v>902</v>
      </c>
      <c r="J201" s="129" t="str">
        <f t="shared" si="18"/>
        <v>Satin Sable w/Inlay</v>
      </c>
      <c r="K201" s="129"/>
      <c r="L201" s="129"/>
      <c r="AO201" s="14" t="s">
        <v>561</v>
      </c>
      <c r="AP201" s="12" t="s">
        <v>88</v>
      </c>
      <c r="AQ201" s="14" t="s">
        <v>518</v>
      </c>
      <c r="AR201" s="12" t="s">
        <v>954</v>
      </c>
      <c r="AS201" s="129" t="s">
        <v>1343</v>
      </c>
      <c r="BN201" s="154" t="str">
        <f t="shared" si="19"/>
        <v>LT</v>
      </c>
      <c r="BO201" s="12" t="s">
        <v>139</v>
      </c>
      <c r="BP201" s="16" t="s">
        <v>1405</v>
      </c>
      <c r="BQ201" s="244" t="str">
        <f t="shared" si="20"/>
        <v>{[8_10T]:[G1CW]}</v>
      </c>
      <c r="BR201" s="42" t="str">
        <f t="shared" si="21"/>
        <v>Evans G1 Coated Batter</v>
      </c>
      <c r="CC201" s="9" t="s">
        <v>70</v>
      </c>
      <c r="CD201" s="12" t="s">
        <v>179</v>
      </c>
      <c r="CE201" s="16" t="s">
        <v>994</v>
      </c>
      <c r="CF201" s="244" t="s">
        <v>1551</v>
      </c>
      <c r="CG201" s="42" t="s">
        <v>1433</v>
      </c>
    </row>
    <row r="202" spans="7:85" x14ac:dyDescent="0.3">
      <c r="G202" s="12" t="s">
        <v>19</v>
      </c>
      <c r="H202" s="12" t="s">
        <v>337</v>
      </c>
      <c r="I202" s="12" t="s">
        <v>904</v>
      </c>
      <c r="J202" s="129" t="str">
        <f t="shared" si="18"/>
        <v>Satin Natural w/Inlay</v>
      </c>
      <c r="K202" s="129"/>
      <c r="L202" s="129"/>
      <c r="AO202" s="14" t="s">
        <v>561</v>
      </c>
      <c r="AP202" s="12" t="s">
        <v>88</v>
      </c>
      <c r="AQ202" s="14" t="s">
        <v>16</v>
      </c>
      <c r="AR202" s="12" t="s">
        <v>948</v>
      </c>
      <c r="AS202" s="129" t="s">
        <v>1340</v>
      </c>
      <c r="BN202" s="154" t="str">
        <f t="shared" si="19"/>
        <v>LT</v>
      </c>
      <c r="BO202" s="12" t="s">
        <v>140</v>
      </c>
      <c r="BP202" s="16" t="s">
        <v>1405</v>
      </c>
      <c r="BQ202" s="244" t="str">
        <f t="shared" si="20"/>
        <v>{[9_10T]:[G1CW]}</v>
      </c>
      <c r="BR202" s="42" t="str">
        <f t="shared" si="21"/>
        <v>Evans G1 Coated Batter</v>
      </c>
      <c r="CC202" s="9" t="s">
        <v>70</v>
      </c>
      <c r="CD202" s="12" t="s">
        <v>180</v>
      </c>
      <c r="CE202" s="16" t="s">
        <v>994</v>
      </c>
      <c r="CF202" s="244" t="s">
        <v>1552</v>
      </c>
      <c r="CG202" s="42" t="s">
        <v>1433</v>
      </c>
    </row>
    <row r="203" spans="7:85" x14ac:dyDescent="0.3">
      <c r="G203" s="12" t="s">
        <v>19</v>
      </c>
      <c r="H203" s="12" t="s">
        <v>337</v>
      </c>
      <c r="I203" s="12" t="s">
        <v>26</v>
      </c>
      <c r="J203" s="129" t="str">
        <f t="shared" si="18"/>
        <v>Satin Sable</v>
      </c>
      <c r="K203" s="129"/>
      <c r="L203" s="129"/>
      <c r="AO203" s="14" t="s">
        <v>561</v>
      </c>
      <c r="AP203" s="12" t="s">
        <v>88</v>
      </c>
      <c r="AQ203" s="14" t="s">
        <v>16</v>
      </c>
      <c r="AR203" s="12" t="s">
        <v>946</v>
      </c>
      <c r="AS203" s="129" t="s">
        <v>1339</v>
      </c>
      <c r="BN203" s="154" t="str">
        <f t="shared" si="19"/>
        <v>LT</v>
      </c>
      <c r="BO203" s="12" t="s">
        <v>144</v>
      </c>
      <c r="BP203" s="16" t="s">
        <v>1405</v>
      </c>
      <c r="BQ203" s="244" t="str">
        <f t="shared" si="20"/>
        <v>{[10_12T]:[G1CW]}</v>
      </c>
      <c r="BR203" s="42" t="str">
        <f t="shared" si="21"/>
        <v>Evans G1 Coated Batter</v>
      </c>
      <c r="CC203" s="9" t="s">
        <v>70</v>
      </c>
      <c r="CD203" s="12" t="s">
        <v>181</v>
      </c>
      <c r="CE203" s="16" t="s">
        <v>994</v>
      </c>
      <c r="CF203" s="244" t="s">
        <v>1553</v>
      </c>
      <c r="CG203" s="42" t="s">
        <v>1433</v>
      </c>
    </row>
    <row r="204" spans="7:85" x14ac:dyDescent="0.3">
      <c r="G204" s="12" t="s">
        <v>19</v>
      </c>
      <c r="H204" s="12" t="s">
        <v>337</v>
      </c>
      <c r="I204" s="12" t="s">
        <v>914</v>
      </c>
      <c r="J204" s="129" t="str">
        <f t="shared" si="18"/>
        <v>Satin Sable w/Accent</v>
      </c>
      <c r="K204" s="129"/>
      <c r="L204" s="129"/>
      <c r="AO204" s="14" t="s">
        <v>561</v>
      </c>
      <c r="AP204" s="12" t="s">
        <v>88</v>
      </c>
      <c r="AQ204" s="14" t="s">
        <v>16</v>
      </c>
      <c r="AR204" s="12" t="s">
        <v>950</v>
      </c>
      <c r="AS204" s="129" t="s">
        <v>1341</v>
      </c>
      <c r="BN204" s="154" t="str">
        <f t="shared" si="19"/>
        <v>LT</v>
      </c>
      <c r="BO204" s="12" t="s">
        <v>146</v>
      </c>
      <c r="BP204" s="16" t="s">
        <v>1405</v>
      </c>
      <c r="BQ204" s="244" t="str">
        <f t="shared" si="20"/>
        <v>{[11_12T]:[G1CW]}</v>
      </c>
      <c r="BR204" s="42" t="str">
        <f t="shared" si="21"/>
        <v>Evans G1 Coated Batter</v>
      </c>
      <c r="CC204" s="9" t="s">
        <v>70</v>
      </c>
      <c r="CD204" s="12" t="s">
        <v>182</v>
      </c>
      <c r="CE204" s="16" t="s">
        <v>994</v>
      </c>
      <c r="CF204" s="244" t="s">
        <v>1554</v>
      </c>
      <c r="CG204" s="42" t="s">
        <v>1433</v>
      </c>
    </row>
    <row r="205" spans="7:85" x14ac:dyDescent="0.3">
      <c r="G205" s="12" t="s">
        <v>19</v>
      </c>
      <c r="H205" s="12" t="s">
        <v>337</v>
      </c>
      <c r="I205" s="12" t="s">
        <v>321</v>
      </c>
      <c r="J205" s="129" t="str">
        <f t="shared" si="18"/>
        <v>Satin Natural</v>
      </c>
      <c r="K205" s="129"/>
      <c r="L205" s="129"/>
      <c r="AO205" s="14" t="s">
        <v>561</v>
      </c>
      <c r="AP205" s="12" t="s">
        <v>88</v>
      </c>
      <c r="AQ205" s="14" t="s">
        <v>16</v>
      </c>
      <c r="AR205" s="12" t="s">
        <v>954</v>
      </c>
      <c r="AS205" s="129" t="s">
        <v>1343</v>
      </c>
      <c r="BN205" s="154" t="str">
        <f t="shared" si="19"/>
        <v>LT</v>
      </c>
      <c r="BO205" s="12" t="s">
        <v>141</v>
      </c>
      <c r="BP205" s="16" t="s">
        <v>1405</v>
      </c>
      <c r="BQ205" s="244" t="str">
        <f t="shared" si="20"/>
        <v>{[8_12T]:[G1CW]}</v>
      </c>
      <c r="BR205" s="42" t="str">
        <f t="shared" si="21"/>
        <v>Evans G1 Coated Batter</v>
      </c>
      <c r="CC205" s="9" t="s">
        <v>70</v>
      </c>
      <c r="CD205" s="12" t="s">
        <v>183</v>
      </c>
      <c r="CE205" s="16" t="s">
        <v>994</v>
      </c>
      <c r="CF205" s="244" t="s">
        <v>1555</v>
      </c>
      <c r="CG205" s="42" t="s">
        <v>1433</v>
      </c>
    </row>
    <row r="206" spans="7:85" x14ac:dyDescent="0.3">
      <c r="G206" s="12" t="s">
        <v>19</v>
      </c>
      <c r="H206" s="12" t="s">
        <v>337</v>
      </c>
      <c r="I206" s="12" t="s">
        <v>912</v>
      </c>
      <c r="J206" s="129" t="str">
        <f t="shared" si="18"/>
        <v>Satin Natural w/Accent</v>
      </c>
      <c r="K206" s="129"/>
      <c r="L206" s="129"/>
      <c r="AO206" s="14" t="s">
        <v>561</v>
      </c>
      <c r="AP206" s="12" t="s">
        <v>88</v>
      </c>
      <c r="AQ206" s="14" t="s">
        <v>22</v>
      </c>
      <c r="AR206" s="12" t="s">
        <v>952</v>
      </c>
      <c r="AS206" s="129" t="s">
        <v>1342</v>
      </c>
      <c r="BN206" s="154" t="str">
        <f t="shared" si="19"/>
        <v>LT</v>
      </c>
      <c r="BO206" s="12" t="s">
        <v>143</v>
      </c>
      <c r="BP206" s="16" t="s">
        <v>1405</v>
      </c>
      <c r="BQ206" s="244" t="str">
        <f t="shared" si="20"/>
        <v>{[9_12T]:[G1CW]}</v>
      </c>
      <c r="BR206" s="42" t="str">
        <f t="shared" si="21"/>
        <v>Evans G1 Coated Batter</v>
      </c>
      <c r="CC206" s="9" t="s">
        <v>70</v>
      </c>
      <c r="CD206" s="12" t="s">
        <v>184</v>
      </c>
      <c r="CE206" s="16" t="s">
        <v>994</v>
      </c>
      <c r="CF206" s="244" t="s">
        <v>1556</v>
      </c>
      <c r="CG206" s="42" t="s">
        <v>1433</v>
      </c>
    </row>
    <row r="207" spans="7:85" x14ac:dyDescent="0.3">
      <c r="G207" s="12" t="s">
        <v>19</v>
      </c>
      <c r="H207" s="12" t="s">
        <v>337</v>
      </c>
      <c r="I207" s="12" t="s">
        <v>309</v>
      </c>
      <c r="J207" s="129" t="str">
        <f t="shared" si="18"/>
        <v>Natural Hoop</v>
      </c>
      <c r="K207" s="129"/>
      <c r="L207" s="129"/>
      <c r="AO207" s="14" t="s">
        <v>561</v>
      </c>
      <c r="AP207" s="12" t="s">
        <v>88</v>
      </c>
      <c r="AQ207" s="14" t="s">
        <v>22</v>
      </c>
      <c r="AR207" s="12" t="s">
        <v>948</v>
      </c>
      <c r="AS207" s="129" t="s">
        <v>1340</v>
      </c>
      <c r="BN207" s="154" t="str">
        <f t="shared" si="19"/>
        <v>LT</v>
      </c>
      <c r="BO207" s="12" t="s">
        <v>148</v>
      </c>
      <c r="BP207" s="16" t="s">
        <v>1405</v>
      </c>
      <c r="BQ207" s="244" t="str">
        <f t="shared" si="20"/>
        <v>{[10_13T]:[G1CW]}</v>
      </c>
      <c r="BR207" s="42" t="str">
        <f t="shared" si="21"/>
        <v>Evans G1 Coated Batter</v>
      </c>
      <c r="CC207" s="9" t="s">
        <v>70</v>
      </c>
      <c r="CD207" s="12" t="s">
        <v>205</v>
      </c>
      <c r="CE207" s="16" t="s">
        <v>994</v>
      </c>
      <c r="CF207" s="244" t="s">
        <v>1557</v>
      </c>
      <c r="CG207" s="42" t="s">
        <v>1433</v>
      </c>
    </row>
    <row r="208" spans="7:85" x14ac:dyDescent="0.3">
      <c r="G208" s="12" t="s">
        <v>19</v>
      </c>
      <c r="H208" s="12" t="s">
        <v>337</v>
      </c>
      <c r="I208" s="12" t="s">
        <v>313</v>
      </c>
      <c r="J208" s="129" t="str">
        <f t="shared" si="18"/>
        <v>Sable Black</v>
      </c>
      <c r="K208" s="129"/>
      <c r="L208" s="129"/>
      <c r="AO208" s="14" t="s">
        <v>561</v>
      </c>
      <c r="AP208" s="12" t="s">
        <v>88</v>
      </c>
      <c r="AQ208" s="14" t="s">
        <v>22</v>
      </c>
      <c r="AR208" s="12" t="s">
        <v>946</v>
      </c>
      <c r="AS208" s="129" t="s">
        <v>1339</v>
      </c>
      <c r="BN208" s="154" t="str">
        <f t="shared" si="19"/>
        <v>LT</v>
      </c>
      <c r="BO208" s="12" t="s">
        <v>149</v>
      </c>
      <c r="BP208" s="16" t="s">
        <v>1405</v>
      </c>
      <c r="BQ208" s="244" t="str">
        <f t="shared" si="20"/>
        <v>{[11_13T]:[G1CW]}</v>
      </c>
      <c r="BR208" s="42" t="str">
        <f t="shared" si="21"/>
        <v>Evans G1 Coated Batter</v>
      </c>
      <c r="CC208" s="12" t="s">
        <v>56</v>
      </c>
      <c r="CD208" s="12" t="s">
        <v>110</v>
      </c>
      <c r="CE208" s="16" t="s">
        <v>994</v>
      </c>
      <c r="CF208" s="244" t="s">
        <v>1558</v>
      </c>
      <c r="CG208" s="42" t="s">
        <v>1433</v>
      </c>
    </row>
    <row r="209" spans="7:85" x14ac:dyDescent="0.3">
      <c r="G209" s="12" t="s">
        <v>19</v>
      </c>
      <c r="H209" s="12" t="s">
        <v>290</v>
      </c>
      <c r="I209" s="12" t="s">
        <v>60</v>
      </c>
      <c r="J209" s="129" t="str">
        <f t="shared" si="18"/>
        <v>Matching Hoop</v>
      </c>
      <c r="K209" s="129"/>
      <c r="L209" s="129"/>
      <c r="AO209" s="14" t="s">
        <v>561</v>
      </c>
      <c r="AP209" s="12" t="s">
        <v>88</v>
      </c>
      <c r="AQ209" s="14" t="s">
        <v>22</v>
      </c>
      <c r="AR209" s="12" t="s">
        <v>950</v>
      </c>
      <c r="AS209" s="129" t="s">
        <v>1341</v>
      </c>
      <c r="BN209" s="154" t="str">
        <f t="shared" si="19"/>
        <v>LT</v>
      </c>
      <c r="BO209" s="12" t="s">
        <v>150</v>
      </c>
      <c r="BP209" s="16" t="s">
        <v>1405</v>
      </c>
      <c r="BQ209" s="244" t="str">
        <f t="shared" si="20"/>
        <v>{[12_13T]:[G1CW]}</v>
      </c>
      <c r="BR209" s="42" t="str">
        <f t="shared" si="21"/>
        <v>Evans G1 Coated Batter</v>
      </c>
      <c r="CC209" s="12" t="s">
        <v>56</v>
      </c>
      <c r="CD209" s="12" t="s">
        <v>113</v>
      </c>
      <c r="CE209" s="16" t="s">
        <v>994</v>
      </c>
      <c r="CF209" s="244" t="s">
        <v>1559</v>
      </c>
      <c r="CG209" s="42" t="s">
        <v>1433</v>
      </c>
    </row>
    <row r="210" spans="7:85" x14ac:dyDescent="0.3">
      <c r="G210" s="12" t="s">
        <v>15</v>
      </c>
      <c r="H210" s="12" t="s">
        <v>275</v>
      </c>
      <c r="I210" s="12" t="s">
        <v>60</v>
      </c>
      <c r="J210" s="129" t="str">
        <f t="shared" si="18"/>
        <v>Matching Hoop</v>
      </c>
      <c r="K210" s="129"/>
      <c r="L210" s="129"/>
      <c r="AO210" s="14" t="s">
        <v>561</v>
      </c>
      <c r="AP210" s="12" t="s">
        <v>88</v>
      </c>
      <c r="AQ210" s="14" t="s">
        <v>22</v>
      </c>
      <c r="AR210" s="12" t="s">
        <v>954</v>
      </c>
      <c r="AS210" s="129" t="s">
        <v>1343</v>
      </c>
      <c r="BN210" s="154" t="str">
        <f t="shared" si="19"/>
        <v>LT</v>
      </c>
      <c r="BO210" s="12" t="s">
        <v>147</v>
      </c>
      <c r="BP210" s="16" t="s">
        <v>1405</v>
      </c>
      <c r="BQ210" s="244" t="str">
        <f t="shared" si="20"/>
        <v>{[9_13T]:[G1CW]}</v>
      </c>
      <c r="BR210" s="42" t="str">
        <f t="shared" si="21"/>
        <v>Evans G1 Coated Batter</v>
      </c>
      <c r="CC210" s="12" t="s">
        <v>56</v>
      </c>
      <c r="CD210" s="12" t="s">
        <v>116</v>
      </c>
      <c r="CE210" s="16" t="s">
        <v>994</v>
      </c>
      <c r="CF210" s="244" t="s">
        <v>1560</v>
      </c>
      <c r="CG210" s="42" t="s">
        <v>1433</v>
      </c>
    </row>
    <row r="211" spans="7:85" x14ac:dyDescent="0.3">
      <c r="G211" s="12" t="s">
        <v>15</v>
      </c>
      <c r="H211" s="12" t="s">
        <v>275</v>
      </c>
      <c r="I211" s="105" t="s">
        <v>1259</v>
      </c>
      <c r="J211" s="129" t="str">
        <f t="shared" si="18"/>
        <v>Matching Hoop w/Accent</v>
      </c>
      <c r="K211" s="129"/>
      <c r="L211" s="129"/>
      <c r="AO211" s="14" t="s">
        <v>561</v>
      </c>
      <c r="AP211" s="12" t="s">
        <v>104</v>
      </c>
      <c r="AQ211" s="14" t="s">
        <v>518</v>
      </c>
      <c r="AR211" s="12" t="s">
        <v>952</v>
      </c>
      <c r="AS211" s="129" t="s">
        <v>1342</v>
      </c>
      <c r="BN211" s="154" t="str">
        <f t="shared" si="19"/>
        <v>LT</v>
      </c>
      <c r="BO211" s="12" t="s">
        <v>157</v>
      </c>
      <c r="BP211" s="16" t="s">
        <v>1405</v>
      </c>
      <c r="BQ211" s="244" t="str">
        <f t="shared" si="20"/>
        <v>{[10_14T]:[G1CW]}</v>
      </c>
      <c r="BR211" s="42" t="str">
        <f t="shared" si="21"/>
        <v>Evans G1 Coated Batter</v>
      </c>
      <c r="CC211" s="12" t="s">
        <v>56</v>
      </c>
      <c r="CD211" s="12" t="s">
        <v>118</v>
      </c>
      <c r="CE211" s="16" t="s">
        <v>994</v>
      </c>
      <c r="CF211" s="244" t="s">
        <v>1561</v>
      </c>
      <c r="CG211" s="42" t="s">
        <v>1433</v>
      </c>
    </row>
    <row r="212" spans="7:85" x14ac:dyDescent="0.3">
      <c r="G212" s="12" t="s">
        <v>15</v>
      </c>
      <c r="H212" s="12" t="s">
        <v>275</v>
      </c>
      <c r="I212" s="12" t="s">
        <v>309</v>
      </c>
      <c r="J212" s="129" t="str">
        <f t="shared" ref="J212:J275" si="22">INDEX($C$3:$C$15,MATCH(I212,$B$3:$B$15,0))</f>
        <v>Natural Hoop</v>
      </c>
      <c r="K212" s="129"/>
      <c r="L212" s="129"/>
      <c r="AO212" s="14" t="s">
        <v>561</v>
      </c>
      <c r="AP212" s="12" t="s">
        <v>104</v>
      </c>
      <c r="AQ212" s="14" t="s">
        <v>518</v>
      </c>
      <c r="AR212" s="12" t="s">
        <v>948</v>
      </c>
      <c r="AS212" s="129" t="s">
        <v>1340</v>
      </c>
      <c r="BN212" s="154" t="str">
        <f t="shared" si="19"/>
        <v>LT</v>
      </c>
      <c r="BO212" s="12" t="s">
        <v>163</v>
      </c>
      <c r="BP212" s="16" t="s">
        <v>1405</v>
      </c>
      <c r="BQ212" s="244" t="str">
        <f t="shared" si="20"/>
        <v>{[11_14T]:[G1CW]}</v>
      </c>
      <c r="BR212" s="42" t="str">
        <f t="shared" si="21"/>
        <v>Evans G1 Coated Batter</v>
      </c>
      <c r="CC212" s="12" t="s">
        <v>56</v>
      </c>
      <c r="CD212" s="12" t="s">
        <v>122</v>
      </c>
      <c r="CE212" s="16" t="s">
        <v>994</v>
      </c>
      <c r="CF212" s="244" t="s">
        <v>1562</v>
      </c>
      <c r="CG212" s="42" t="s">
        <v>1433</v>
      </c>
    </row>
    <row r="213" spans="7:85" x14ac:dyDescent="0.3">
      <c r="G213" s="12" t="s">
        <v>18</v>
      </c>
      <c r="H213" s="12" t="s">
        <v>275</v>
      </c>
      <c r="I213" s="12" t="s">
        <v>60</v>
      </c>
      <c r="J213" s="129" t="str">
        <f t="shared" si="22"/>
        <v>Matching Hoop</v>
      </c>
      <c r="K213" s="129"/>
      <c r="L213" s="129"/>
      <c r="AO213" s="14" t="s">
        <v>561</v>
      </c>
      <c r="AP213" s="12" t="s">
        <v>104</v>
      </c>
      <c r="AQ213" s="14" t="s">
        <v>518</v>
      </c>
      <c r="AR213" s="12" t="s">
        <v>946</v>
      </c>
      <c r="AS213" s="129" t="s">
        <v>1339</v>
      </c>
      <c r="BN213" s="154" t="str">
        <f t="shared" si="19"/>
        <v>LF</v>
      </c>
      <c r="BO213" s="12" t="s">
        <v>110</v>
      </c>
      <c r="BP213" s="16" t="s">
        <v>1405</v>
      </c>
      <c r="BQ213" s="244" t="str">
        <f t="shared" si="20"/>
        <v>{[12_14F]:[G1CW]}</v>
      </c>
      <c r="BR213" s="42" t="str">
        <f t="shared" si="21"/>
        <v>Evans G1 Coated Batter</v>
      </c>
      <c r="CC213" s="12" t="s">
        <v>56</v>
      </c>
      <c r="CD213" s="12" t="s">
        <v>125</v>
      </c>
      <c r="CE213" s="16" t="s">
        <v>994</v>
      </c>
      <c r="CF213" s="244" t="s">
        <v>1563</v>
      </c>
      <c r="CG213" s="42" t="s">
        <v>1433</v>
      </c>
    </row>
    <row r="214" spans="7:85" x14ac:dyDescent="0.3">
      <c r="G214" s="12" t="s">
        <v>18</v>
      </c>
      <c r="H214" s="12" t="s">
        <v>275</v>
      </c>
      <c r="I214" s="105" t="s">
        <v>1259</v>
      </c>
      <c r="J214" s="129" t="str">
        <f t="shared" si="22"/>
        <v>Matching Hoop w/Accent</v>
      </c>
      <c r="K214" s="129"/>
      <c r="L214" s="129"/>
      <c r="AO214" s="14" t="s">
        <v>561</v>
      </c>
      <c r="AP214" s="12" t="s">
        <v>104</v>
      </c>
      <c r="AQ214" s="14" t="s">
        <v>518</v>
      </c>
      <c r="AR214" s="12" t="s">
        <v>950</v>
      </c>
      <c r="AS214" s="129" t="s">
        <v>1341</v>
      </c>
      <c r="BN214" s="154" t="str">
        <f t="shared" si="19"/>
        <v>LT</v>
      </c>
      <c r="BO214" s="12" t="s">
        <v>169</v>
      </c>
      <c r="BP214" s="16" t="s">
        <v>1405</v>
      </c>
      <c r="BQ214" s="244" t="str">
        <f t="shared" si="20"/>
        <v>{[12_14T]:[G1CW]}</v>
      </c>
      <c r="BR214" s="42" t="str">
        <f t="shared" si="21"/>
        <v>Evans G1 Coated Batter</v>
      </c>
      <c r="CC214" s="12" t="s">
        <v>56</v>
      </c>
      <c r="CD214" s="12" t="s">
        <v>126</v>
      </c>
      <c r="CE214" s="16" t="s">
        <v>994</v>
      </c>
      <c r="CF214" s="244" t="s">
        <v>1564</v>
      </c>
      <c r="CG214" s="42" t="s">
        <v>1433</v>
      </c>
    </row>
    <row r="215" spans="7:85" x14ac:dyDescent="0.3">
      <c r="G215" s="12" t="s">
        <v>18</v>
      </c>
      <c r="H215" s="12" t="s">
        <v>275</v>
      </c>
      <c r="I215" s="12" t="s">
        <v>309</v>
      </c>
      <c r="J215" s="129" t="str">
        <f t="shared" si="22"/>
        <v>Natural Hoop</v>
      </c>
      <c r="K215" s="129"/>
      <c r="L215" s="129"/>
      <c r="AO215" s="14" t="s">
        <v>561</v>
      </c>
      <c r="AP215" s="12" t="s">
        <v>104</v>
      </c>
      <c r="AQ215" s="14" t="s">
        <v>518</v>
      </c>
      <c r="AR215" s="12" t="s">
        <v>954</v>
      </c>
      <c r="AS215" s="129" t="s">
        <v>1343</v>
      </c>
      <c r="BN215" s="154" t="str">
        <f t="shared" si="19"/>
        <v>LF</v>
      </c>
      <c r="BO215" s="12" t="s">
        <v>113</v>
      </c>
      <c r="BP215" s="16" t="s">
        <v>1405</v>
      </c>
      <c r="BQ215" s="244" t="str">
        <f t="shared" si="20"/>
        <v>{[13_14F]:[G1CW]}</v>
      </c>
      <c r="BR215" s="42" t="str">
        <f t="shared" si="21"/>
        <v>Evans G1 Coated Batter</v>
      </c>
      <c r="CC215" s="12" t="s">
        <v>56</v>
      </c>
      <c r="CD215" s="12" t="s">
        <v>128</v>
      </c>
      <c r="CE215" s="16" t="s">
        <v>994</v>
      </c>
      <c r="CF215" s="244" t="s">
        <v>1565</v>
      </c>
      <c r="CG215" s="42" t="s">
        <v>1433</v>
      </c>
    </row>
    <row r="216" spans="7:85" x14ac:dyDescent="0.3">
      <c r="G216" s="12" t="s">
        <v>15</v>
      </c>
      <c r="H216" s="12" t="s">
        <v>280</v>
      </c>
      <c r="I216" s="12" t="s">
        <v>60</v>
      </c>
      <c r="J216" s="129" t="str">
        <f t="shared" si="22"/>
        <v>Matching Hoop</v>
      </c>
      <c r="K216" s="129"/>
      <c r="L216" s="129"/>
      <c r="AO216" s="14" t="s">
        <v>561</v>
      </c>
      <c r="AP216" s="12" t="s">
        <v>104</v>
      </c>
      <c r="AQ216" s="14" t="s">
        <v>16</v>
      </c>
      <c r="AR216" s="12" t="s">
        <v>948</v>
      </c>
      <c r="AS216" s="129" t="s">
        <v>1340</v>
      </c>
      <c r="BN216" s="154" t="str">
        <f t="shared" si="19"/>
        <v>LT</v>
      </c>
      <c r="BO216" s="12" t="s">
        <v>175</v>
      </c>
      <c r="BP216" s="16" t="s">
        <v>1405</v>
      </c>
      <c r="BQ216" s="244" t="str">
        <f t="shared" si="20"/>
        <v>{[13_14T]:[G1CW]}</v>
      </c>
      <c r="BR216" s="42" t="str">
        <f t="shared" si="21"/>
        <v>Evans G1 Coated Batter</v>
      </c>
      <c r="CC216" s="12" t="s">
        <v>56</v>
      </c>
      <c r="CD216" s="12" t="s">
        <v>129</v>
      </c>
      <c r="CE216" s="16" t="s">
        <v>994</v>
      </c>
      <c r="CF216" s="244" t="s">
        <v>1566</v>
      </c>
      <c r="CG216" s="42" t="s">
        <v>1433</v>
      </c>
    </row>
    <row r="217" spans="7:85" x14ac:dyDescent="0.3">
      <c r="G217" s="12" t="s">
        <v>15</v>
      </c>
      <c r="H217" s="12" t="s">
        <v>280</v>
      </c>
      <c r="I217" s="105" t="s">
        <v>1259</v>
      </c>
      <c r="J217" s="129" t="str">
        <f t="shared" si="22"/>
        <v>Matching Hoop w/Accent</v>
      </c>
      <c r="K217" s="129"/>
      <c r="L217" s="129"/>
      <c r="AO217" s="14" t="s">
        <v>561</v>
      </c>
      <c r="AP217" s="12" t="s">
        <v>104</v>
      </c>
      <c r="AQ217" s="14" t="s">
        <v>16</v>
      </c>
      <c r="AR217" s="12" t="s">
        <v>946</v>
      </c>
      <c r="AS217" s="129" t="s">
        <v>1339</v>
      </c>
      <c r="BN217" s="154" t="str">
        <f t="shared" si="19"/>
        <v>LF</v>
      </c>
      <c r="BO217" s="12" t="s">
        <v>116</v>
      </c>
      <c r="BP217" s="16" t="s">
        <v>1405</v>
      </c>
      <c r="BQ217" s="244" t="str">
        <f t="shared" si="20"/>
        <v>{[14_14F]:[G1CW]}</v>
      </c>
      <c r="BR217" s="42" t="str">
        <f t="shared" si="21"/>
        <v>Evans G1 Coated Batter</v>
      </c>
      <c r="CC217" s="12" t="s">
        <v>56</v>
      </c>
      <c r="CD217" s="12" t="s">
        <v>131</v>
      </c>
      <c r="CE217" s="16" t="s">
        <v>994</v>
      </c>
      <c r="CF217" s="244" t="s">
        <v>1567</v>
      </c>
      <c r="CG217" s="42" t="s">
        <v>1433</v>
      </c>
    </row>
    <row r="218" spans="7:85" x14ac:dyDescent="0.3">
      <c r="G218" s="12" t="s">
        <v>15</v>
      </c>
      <c r="H218" s="12" t="s">
        <v>280</v>
      </c>
      <c r="I218" s="12" t="s">
        <v>309</v>
      </c>
      <c r="J218" s="129" t="str">
        <f t="shared" si="22"/>
        <v>Natural Hoop</v>
      </c>
      <c r="K218" s="129"/>
      <c r="L218" s="129"/>
      <c r="AO218" s="14" t="s">
        <v>561</v>
      </c>
      <c r="AP218" s="12" t="s">
        <v>104</v>
      </c>
      <c r="AQ218" s="14" t="s">
        <v>16</v>
      </c>
      <c r="AR218" s="12" t="s">
        <v>950</v>
      </c>
      <c r="AS218" s="129" t="s">
        <v>1341</v>
      </c>
      <c r="BN218" s="154" t="str">
        <f t="shared" si="19"/>
        <v>LT</v>
      </c>
      <c r="BO218" s="12" t="s">
        <v>176</v>
      </c>
      <c r="BP218" s="16" t="s">
        <v>1405</v>
      </c>
      <c r="BQ218" s="244" t="str">
        <f t="shared" si="20"/>
        <v>{[14_14T]:[G1CW]}</v>
      </c>
      <c r="BR218" s="42" t="str">
        <f t="shared" si="21"/>
        <v>Evans G1 Coated Batter</v>
      </c>
      <c r="CC218" s="9" t="s">
        <v>70</v>
      </c>
      <c r="CD218" s="12" t="s">
        <v>206</v>
      </c>
      <c r="CE218" s="77" t="s">
        <v>1405</v>
      </c>
      <c r="CF218" s="244" t="s">
        <v>1568</v>
      </c>
      <c r="CG218" s="42" t="s">
        <v>1434</v>
      </c>
    </row>
    <row r="219" spans="7:85" x14ac:dyDescent="0.3">
      <c r="G219" s="12" t="s">
        <v>18</v>
      </c>
      <c r="H219" s="12" t="s">
        <v>280</v>
      </c>
      <c r="I219" s="12" t="s">
        <v>60</v>
      </c>
      <c r="J219" s="129" t="str">
        <f t="shared" si="22"/>
        <v>Matching Hoop</v>
      </c>
      <c r="K219" s="129"/>
      <c r="L219" s="129"/>
      <c r="AO219" s="14" t="s">
        <v>561</v>
      </c>
      <c r="AP219" s="12" t="s">
        <v>104</v>
      </c>
      <c r="AQ219" s="14" t="s">
        <v>16</v>
      </c>
      <c r="AR219" s="12" t="s">
        <v>954</v>
      </c>
      <c r="AS219" s="129" t="s">
        <v>1343</v>
      </c>
      <c r="BN219" s="154" t="str">
        <f t="shared" si="19"/>
        <v>LT</v>
      </c>
      <c r="BO219" s="12" t="s">
        <v>151</v>
      </c>
      <c r="BP219" s="16" t="s">
        <v>1405</v>
      </c>
      <c r="BQ219" s="244" t="str">
        <f t="shared" si="20"/>
        <v>{[9_14T]:[G1CW]}</v>
      </c>
      <c r="BR219" s="42" t="str">
        <f t="shared" si="21"/>
        <v>Evans G1 Coated Batter</v>
      </c>
      <c r="CC219" s="9" t="s">
        <v>70</v>
      </c>
      <c r="CD219" s="12" t="s">
        <v>132</v>
      </c>
      <c r="CE219" s="77" t="s">
        <v>1405</v>
      </c>
      <c r="CF219" s="244" t="s">
        <v>1569</v>
      </c>
      <c r="CG219" s="42" t="s">
        <v>1434</v>
      </c>
    </row>
    <row r="220" spans="7:85" x14ac:dyDescent="0.3">
      <c r="G220" s="12" t="s">
        <v>18</v>
      </c>
      <c r="H220" s="12" t="s">
        <v>280</v>
      </c>
      <c r="I220" s="105" t="s">
        <v>1259</v>
      </c>
      <c r="J220" s="129" t="str">
        <f t="shared" si="22"/>
        <v>Matching Hoop w/Accent</v>
      </c>
      <c r="K220" s="129"/>
      <c r="L220" s="129"/>
      <c r="AO220" s="14" t="s">
        <v>561</v>
      </c>
      <c r="AP220" s="12" t="s">
        <v>104</v>
      </c>
      <c r="AQ220" s="14" t="s">
        <v>22</v>
      </c>
      <c r="AR220" s="12" t="s">
        <v>952</v>
      </c>
      <c r="AS220" s="129" t="s">
        <v>1342</v>
      </c>
      <c r="BN220" s="154" t="str">
        <f t="shared" si="19"/>
        <v>LT</v>
      </c>
      <c r="BO220" s="12" t="s">
        <v>178</v>
      </c>
      <c r="BP220" s="16" t="s">
        <v>1405</v>
      </c>
      <c r="BQ220" s="244" t="str">
        <f t="shared" si="20"/>
        <v>{[12_15T]:[G1CW]}</v>
      </c>
      <c r="BR220" s="42" t="str">
        <f t="shared" si="21"/>
        <v>Evans G1 Coated Batter</v>
      </c>
      <c r="CC220" s="9" t="s">
        <v>70</v>
      </c>
      <c r="CD220" s="12" t="s">
        <v>133</v>
      </c>
      <c r="CE220" s="77" t="s">
        <v>1405</v>
      </c>
      <c r="CF220" s="244" t="s">
        <v>1570</v>
      </c>
      <c r="CG220" s="42" t="s">
        <v>1434</v>
      </c>
    </row>
    <row r="221" spans="7:85" x14ac:dyDescent="0.3">
      <c r="G221" s="12" t="s">
        <v>18</v>
      </c>
      <c r="H221" s="12" t="s">
        <v>280</v>
      </c>
      <c r="I221" s="12" t="s">
        <v>309</v>
      </c>
      <c r="J221" s="129" t="str">
        <f t="shared" si="22"/>
        <v>Natural Hoop</v>
      </c>
      <c r="K221" s="129"/>
      <c r="L221" s="129"/>
      <c r="AO221" s="14" t="s">
        <v>561</v>
      </c>
      <c r="AP221" s="12" t="s">
        <v>104</v>
      </c>
      <c r="AQ221" s="14" t="s">
        <v>22</v>
      </c>
      <c r="AR221" s="12" t="s">
        <v>948</v>
      </c>
      <c r="AS221" s="129" t="s">
        <v>1340</v>
      </c>
      <c r="BN221" s="154" t="str">
        <f t="shared" si="19"/>
        <v>LF</v>
      </c>
      <c r="BO221" s="12" t="s">
        <v>118</v>
      </c>
      <c r="BP221" s="16" t="s">
        <v>1405</v>
      </c>
      <c r="BQ221" s="244" t="str">
        <f t="shared" si="20"/>
        <v>{[13_15F]:[G1CW]}</v>
      </c>
      <c r="BR221" s="42" t="str">
        <f t="shared" si="21"/>
        <v>Evans G1 Coated Batter</v>
      </c>
      <c r="CC221" s="9" t="s">
        <v>70</v>
      </c>
      <c r="CD221" s="12" t="s">
        <v>207</v>
      </c>
      <c r="CE221" s="77" t="s">
        <v>1405</v>
      </c>
      <c r="CF221" s="244" t="s">
        <v>1571</v>
      </c>
      <c r="CG221" s="42" t="s">
        <v>1434</v>
      </c>
    </row>
    <row r="222" spans="7:85" x14ac:dyDescent="0.3">
      <c r="G222" s="12" t="s">
        <v>15</v>
      </c>
      <c r="H222" s="12" t="s">
        <v>292</v>
      </c>
      <c r="I222" s="12" t="s">
        <v>60</v>
      </c>
      <c r="J222" s="129" t="str">
        <f t="shared" si="22"/>
        <v>Matching Hoop</v>
      </c>
      <c r="K222" s="129"/>
      <c r="L222" s="129"/>
      <c r="AO222" s="14" t="s">
        <v>561</v>
      </c>
      <c r="AP222" s="12" t="s">
        <v>104</v>
      </c>
      <c r="AQ222" s="14" t="s">
        <v>22</v>
      </c>
      <c r="AR222" s="12" t="s">
        <v>946</v>
      </c>
      <c r="AS222" s="129" t="s">
        <v>1339</v>
      </c>
      <c r="BN222" s="154" t="str">
        <f t="shared" si="19"/>
        <v>LT</v>
      </c>
      <c r="BO222" s="12" t="s">
        <v>179</v>
      </c>
      <c r="BP222" s="16" t="s">
        <v>1405</v>
      </c>
      <c r="BQ222" s="244" t="str">
        <f t="shared" si="20"/>
        <v>{[13_15T]:[G1CW]}</v>
      </c>
      <c r="BR222" s="42" t="str">
        <f t="shared" si="21"/>
        <v>Evans G1 Coated Batter</v>
      </c>
      <c r="CC222" s="9" t="s">
        <v>70</v>
      </c>
      <c r="CD222" s="12" t="s">
        <v>134</v>
      </c>
      <c r="CE222" s="77" t="s">
        <v>1405</v>
      </c>
      <c r="CF222" s="244" t="s">
        <v>1572</v>
      </c>
      <c r="CG222" s="42" t="s">
        <v>1434</v>
      </c>
    </row>
    <row r="223" spans="7:85" x14ac:dyDescent="0.3">
      <c r="G223" s="12" t="s">
        <v>15</v>
      </c>
      <c r="H223" s="12" t="s">
        <v>292</v>
      </c>
      <c r="I223" s="105" t="s">
        <v>1259</v>
      </c>
      <c r="J223" s="129" t="str">
        <f t="shared" si="22"/>
        <v>Matching Hoop w/Accent</v>
      </c>
      <c r="K223" s="129"/>
      <c r="L223" s="129"/>
      <c r="AO223" s="14" t="s">
        <v>561</v>
      </c>
      <c r="AP223" s="12" t="s">
        <v>104</v>
      </c>
      <c r="AQ223" s="14" t="s">
        <v>22</v>
      </c>
      <c r="AR223" s="12" t="s">
        <v>950</v>
      </c>
      <c r="AS223" s="129" t="s">
        <v>1341</v>
      </c>
      <c r="BN223" s="154" t="str">
        <f t="shared" si="19"/>
        <v>LF</v>
      </c>
      <c r="BO223" s="12" t="s">
        <v>122</v>
      </c>
      <c r="BP223" s="16" t="s">
        <v>1405</v>
      </c>
      <c r="BQ223" s="244" t="str">
        <f t="shared" si="20"/>
        <v>{[14_15F]:[G1CW]}</v>
      </c>
      <c r="BR223" s="42" t="str">
        <f t="shared" si="21"/>
        <v>Evans G1 Coated Batter</v>
      </c>
      <c r="CC223" s="9" t="s">
        <v>70</v>
      </c>
      <c r="CD223" s="12" t="s">
        <v>136</v>
      </c>
      <c r="CE223" s="77" t="s">
        <v>1405</v>
      </c>
      <c r="CF223" s="244" t="s">
        <v>1573</v>
      </c>
      <c r="CG223" s="42" t="s">
        <v>1434</v>
      </c>
    </row>
    <row r="224" spans="7:85" x14ac:dyDescent="0.3">
      <c r="G224" s="12" t="s">
        <v>15</v>
      </c>
      <c r="H224" s="12" t="s">
        <v>292</v>
      </c>
      <c r="I224" s="12" t="s">
        <v>309</v>
      </c>
      <c r="J224" s="129" t="str">
        <f t="shared" si="22"/>
        <v>Natural Hoop</v>
      </c>
      <c r="K224" s="129"/>
      <c r="L224" s="129"/>
      <c r="AO224" s="14" t="s">
        <v>561</v>
      </c>
      <c r="AP224" s="12" t="s">
        <v>104</v>
      </c>
      <c r="AQ224" s="14" t="s">
        <v>22</v>
      </c>
      <c r="AR224" s="12" t="s">
        <v>954</v>
      </c>
      <c r="AS224" s="129" t="s">
        <v>1343</v>
      </c>
      <c r="BN224" s="154" t="str">
        <f t="shared" si="19"/>
        <v>LT</v>
      </c>
      <c r="BO224" s="12" t="s">
        <v>180</v>
      </c>
      <c r="BP224" s="16" t="s">
        <v>1405</v>
      </c>
      <c r="BQ224" s="244" t="str">
        <f t="shared" si="20"/>
        <v>{[14_15T]:[G1CW]}</v>
      </c>
      <c r="BR224" s="42" t="str">
        <f t="shared" si="21"/>
        <v>Evans G1 Coated Batter</v>
      </c>
      <c r="CC224" s="9" t="s">
        <v>70</v>
      </c>
      <c r="CD224" s="12" t="s">
        <v>137</v>
      </c>
      <c r="CE224" s="77" t="s">
        <v>1405</v>
      </c>
      <c r="CF224" s="244" t="s">
        <v>1574</v>
      </c>
      <c r="CG224" s="42" t="s">
        <v>1434</v>
      </c>
    </row>
    <row r="225" spans="7:85" x14ac:dyDescent="0.3">
      <c r="G225" s="16" t="s">
        <v>16</v>
      </c>
      <c r="H225" s="12" t="s">
        <v>292</v>
      </c>
      <c r="I225" s="12" t="s">
        <v>60</v>
      </c>
      <c r="J225" s="129" t="str">
        <f t="shared" si="22"/>
        <v>Matching Hoop</v>
      </c>
      <c r="K225" s="129"/>
      <c r="L225" s="129"/>
      <c r="AO225" s="14" t="s">
        <v>561</v>
      </c>
      <c r="AP225" s="12" t="s">
        <v>440</v>
      </c>
      <c r="AQ225" s="14" t="s">
        <v>518</v>
      </c>
      <c r="AR225" s="12" t="s">
        <v>952</v>
      </c>
      <c r="AS225" s="129" t="s">
        <v>1342</v>
      </c>
      <c r="BN225" s="154" t="str">
        <f t="shared" si="19"/>
        <v>LF</v>
      </c>
      <c r="BO225" s="12" t="s">
        <v>125</v>
      </c>
      <c r="BP225" s="16" t="s">
        <v>1405</v>
      </c>
      <c r="BQ225" s="244" t="str">
        <f t="shared" si="20"/>
        <v>{[13_16F]:[G1CW]}</v>
      </c>
      <c r="BR225" s="42" t="str">
        <f t="shared" si="21"/>
        <v>Evans G1 Coated Batter</v>
      </c>
      <c r="CC225" s="9" t="s">
        <v>70</v>
      </c>
      <c r="CD225" s="12" t="s">
        <v>138</v>
      </c>
      <c r="CE225" s="77" t="s">
        <v>1405</v>
      </c>
      <c r="CF225" s="244" t="s">
        <v>1575</v>
      </c>
      <c r="CG225" s="42" t="s">
        <v>1434</v>
      </c>
    </row>
    <row r="226" spans="7:85" x14ac:dyDescent="0.3">
      <c r="G226" s="16" t="s">
        <v>16</v>
      </c>
      <c r="H226" s="12" t="s">
        <v>292</v>
      </c>
      <c r="I226" s="105" t="s">
        <v>1259</v>
      </c>
      <c r="J226" s="129" t="str">
        <f t="shared" si="22"/>
        <v>Matching Hoop w/Accent</v>
      </c>
      <c r="K226" s="129"/>
      <c r="L226" s="129"/>
      <c r="AO226" s="14" t="s">
        <v>561</v>
      </c>
      <c r="AP226" s="12" t="s">
        <v>440</v>
      </c>
      <c r="AQ226" s="14" t="s">
        <v>518</v>
      </c>
      <c r="AR226" s="12" t="s">
        <v>948</v>
      </c>
      <c r="AS226" s="129" t="s">
        <v>1340</v>
      </c>
      <c r="BN226" s="154" t="str">
        <f t="shared" si="19"/>
        <v>LT</v>
      </c>
      <c r="BO226" s="12" t="s">
        <v>181</v>
      </c>
      <c r="BP226" s="16" t="s">
        <v>1405</v>
      </c>
      <c r="BQ226" s="244" t="str">
        <f t="shared" si="20"/>
        <v>{[13_16T]:[G1CW]}</v>
      </c>
      <c r="BR226" s="42" t="str">
        <f t="shared" si="21"/>
        <v>Evans G1 Coated Batter</v>
      </c>
      <c r="CC226" s="9" t="s">
        <v>70</v>
      </c>
      <c r="CD226" s="12" t="s">
        <v>139</v>
      </c>
      <c r="CE226" s="77" t="s">
        <v>1405</v>
      </c>
      <c r="CF226" s="244" t="s">
        <v>1576</v>
      </c>
      <c r="CG226" s="42" t="s">
        <v>1434</v>
      </c>
    </row>
    <row r="227" spans="7:85" x14ac:dyDescent="0.3">
      <c r="G227" s="16" t="s">
        <v>16</v>
      </c>
      <c r="H227" s="12" t="s">
        <v>292</v>
      </c>
      <c r="I227" s="12" t="s">
        <v>309</v>
      </c>
      <c r="J227" s="129" t="str">
        <f t="shared" si="22"/>
        <v>Natural Hoop</v>
      </c>
      <c r="K227" s="129"/>
      <c r="L227" s="129"/>
      <c r="AO227" s="14" t="s">
        <v>561</v>
      </c>
      <c r="AP227" s="12" t="s">
        <v>440</v>
      </c>
      <c r="AQ227" s="14" t="s">
        <v>518</v>
      </c>
      <c r="AR227" s="12" t="s">
        <v>950</v>
      </c>
      <c r="AS227" s="129" t="s">
        <v>1341</v>
      </c>
      <c r="BN227" s="154" t="str">
        <f t="shared" si="19"/>
        <v>LF</v>
      </c>
      <c r="BO227" s="12" t="s">
        <v>126</v>
      </c>
      <c r="BP227" s="16" t="s">
        <v>1405</v>
      </c>
      <c r="BQ227" s="244" t="str">
        <f t="shared" si="20"/>
        <v>{[14_16F]:[G1CW]}</v>
      </c>
      <c r="BR227" s="42" t="str">
        <f t="shared" si="21"/>
        <v>Evans G1 Coated Batter</v>
      </c>
      <c r="CC227" s="9" t="s">
        <v>70</v>
      </c>
      <c r="CD227" s="12" t="s">
        <v>140</v>
      </c>
      <c r="CE227" s="77" t="s">
        <v>1405</v>
      </c>
      <c r="CF227" s="244" t="s">
        <v>1577</v>
      </c>
      <c r="CG227" s="42" t="s">
        <v>1434</v>
      </c>
    </row>
    <row r="228" spans="7:85" x14ac:dyDescent="0.3">
      <c r="G228" s="12" t="s">
        <v>15</v>
      </c>
      <c r="H228" s="12" t="s">
        <v>294</v>
      </c>
      <c r="I228" s="12" t="s">
        <v>60</v>
      </c>
      <c r="J228" s="129" t="str">
        <f t="shared" si="22"/>
        <v>Matching Hoop</v>
      </c>
      <c r="K228" s="129"/>
      <c r="L228" s="129"/>
      <c r="AO228" s="14" t="s">
        <v>561</v>
      </c>
      <c r="AP228" s="12" t="s">
        <v>440</v>
      </c>
      <c r="AQ228" s="14" t="s">
        <v>518</v>
      </c>
      <c r="AR228" s="12" t="s">
        <v>954</v>
      </c>
      <c r="AS228" s="129" t="s">
        <v>1343</v>
      </c>
      <c r="BN228" s="154" t="str">
        <f t="shared" si="19"/>
        <v>LT</v>
      </c>
      <c r="BO228" s="12" t="s">
        <v>182</v>
      </c>
      <c r="BP228" s="16" t="s">
        <v>1405</v>
      </c>
      <c r="BQ228" s="244" t="str">
        <f t="shared" si="20"/>
        <v>{[14_16T]:[G1CW]}</v>
      </c>
      <c r="BR228" s="42" t="str">
        <f t="shared" si="21"/>
        <v>Evans G1 Coated Batter</v>
      </c>
      <c r="CC228" s="9" t="s">
        <v>70</v>
      </c>
      <c r="CD228" s="12" t="s">
        <v>141</v>
      </c>
      <c r="CE228" s="77" t="s">
        <v>1405</v>
      </c>
      <c r="CF228" s="244" t="s">
        <v>1578</v>
      </c>
      <c r="CG228" s="42" t="s">
        <v>1434</v>
      </c>
    </row>
    <row r="229" spans="7:85" x14ac:dyDescent="0.3">
      <c r="G229" s="12" t="s">
        <v>15</v>
      </c>
      <c r="H229" s="12" t="s">
        <v>294</v>
      </c>
      <c r="I229" s="105" t="s">
        <v>1259</v>
      </c>
      <c r="J229" s="129" t="str">
        <f t="shared" si="22"/>
        <v>Matching Hoop w/Accent</v>
      </c>
      <c r="K229" s="129"/>
      <c r="L229" s="129"/>
      <c r="AO229" s="14" t="s">
        <v>561</v>
      </c>
      <c r="AP229" s="12" t="s">
        <v>440</v>
      </c>
      <c r="AQ229" s="14" t="s">
        <v>16</v>
      </c>
      <c r="AR229" s="12" t="s">
        <v>948</v>
      </c>
      <c r="AS229" s="129" t="s">
        <v>1340</v>
      </c>
      <c r="BN229" s="154" t="str">
        <f t="shared" si="19"/>
        <v>LF</v>
      </c>
      <c r="BO229" s="12" t="s">
        <v>128</v>
      </c>
      <c r="BP229" s="16" t="s">
        <v>1405</v>
      </c>
      <c r="BQ229" s="244" t="str">
        <f t="shared" si="20"/>
        <v>{[15_16F]:[G1CW]}</v>
      </c>
      <c r="BR229" s="42" t="str">
        <f t="shared" si="21"/>
        <v>Evans G1 Coated Batter</v>
      </c>
      <c r="CC229" s="9" t="s">
        <v>70</v>
      </c>
      <c r="CD229" s="12" t="s">
        <v>143</v>
      </c>
      <c r="CE229" s="77" t="s">
        <v>1405</v>
      </c>
      <c r="CF229" s="244" t="s">
        <v>1579</v>
      </c>
      <c r="CG229" s="42" t="s">
        <v>1434</v>
      </c>
    </row>
    <row r="230" spans="7:85" x14ac:dyDescent="0.3">
      <c r="G230" s="12" t="s">
        <v>15</v>
      </c>
      <c r="H230" s="12" t="s">
        <v>294</v>
      </c>
      <c r="I230" s="12" t="s">
        <v>309</v>
      </c>
      <c r="J230" s="129" t="str">
        <f t="shared" si="22"/>
        <v>Natural Hoop</v>
      </c>
      <c r="K230" s="129"/>
      <c r="L230" s="129"/>
      <c r="AO230" s="14" t="s">
        <v>561</v>
      </c>
      <c r="AP230" s="12" t="s">
        <v>440</v>
      </c>
      <c r="AQ230" s="14" t="s">
        <v>16</v>
      </c>
      <c r="AR230" s="12" t="s">
        <v>950</v>
      </c>
      <c r="AS230" s="129" t="s">
        <v>1341</v>
      </c>
      <c r="BN230" s="154" t="str">
        <f t="shared" si="19"/>
        <v>LT</v>
      </c>
      <c r="BO230" s="12" t="s">
        <v>183</v>
      </c>
      <c r="BP230" s="16" t="s">
        <v>1405</v>
      </c>
      <c r="BQ230" s="244" t="str">
        <f t="shared" si="20"/>
        <v>{[15_16T]:[G1CW]}</v>
      </c>
      <c r="BR230" s="42" t="str">
        <f t="shared" si="21"/>
        <v>Evans G1 Coated Batter</v>
      </c>
      <c r="CC230" s="9" t="s">
        <v>70</v>
      </c>
      <c r="CD230" s="12" t="s">
        <v>144</v>
      </c>
      <c r="CE230" s="77" t="s">
        <v>1405</v>
      </c>
      <c r="CF230" s="244" t="s">
        <v>1580</v>
      </c>
      <c r="CG230" s="42" t="s">
        <v>1434</v>
      </c>
    </row>
    <row r="231" spans="7:85" x14ac:dyDescent="0.3">
      <c r="G231" s="16" t="s">
        <v>16</v>
      </c>
      <c r="H231" s="12" t="s">
        <v>294</v>
      </c>
      <c r="I231" s="12" t="s">
        <v>60</v>
      </c>
      <c r="J231" s="129" t="str">
        <f t="shared" si="22"/>
        <v>Matching Hoop</v>
      </c>
      <c r="K231" s="129"/>
      <c r="L231" s="129"/>
      <c r="AO231" s="14" t="s">
        <v>561</v>
      </c>
      <c r="AP231" s="12" t="s">
        <v>440</v>
      </c>
      <c r="AQ231" s="14" t="s">
        <v>16</v>
      </c>
      <c r="AR231" s="12" t="s">
        <v>954</v>
      </c>
      <c r="AS231" s="129" t="s">
        <v>1343</v>
      </c>
      <c r="BN231" s="154" t="str">
        <f t="shared" si="19"/>
        <v>LF</v>
      </c>
      <c r="BO231" s="12" t="s">
        <v>129</v>
      </c>
      <c r="BP231" s="16" t="s">
        <v>1405</v>
      </c>
      <c r="BQ231" s="244" t="str">
        <f t="shared" si="20"/>
        <v>{[16_16F]:[G1CW]}</v>
      </c>
      <c r="BR231" s="42" t="str">
        <f t="shared" si="21"/>
        <v>Evans G1 Coated Batter</v>
      </c>
      <c r="CC231" s="9" t="s">
        <v>70</v>
      </c>
      <c r="CD231" s="12" t="s">
        <v>146</v>
      </c>
      <c r="CE231" s="77" t="s">
        <v>1405</v>
      </c>
      <c r="CF231" s="244" t="s">
        <v>1581</v>
      </c>
      <c r="CG231" s="42" t="s">
        <v>1434</v>
      </c>
    </row>
    <row r="232" spans="7:85" x14ac:dyDescent="0.3">
      <c r="G232" s="16" t="s">
        <v>16</v>
      </c>
      <c r="H232" s="12" t="s">
        <v>294</v>
      </c>
      <c r="I232" s="105" t="s">
        <v>1259</v>
      </c>
      <c r="J232" s="129" t="str">
        <f t="shared" si="22"/>
        <v>Matching Hoop w/Accent</v>
      </c>
      <c r="K232" s="129"/>
      <c r="L232" s="129"/>
      <c r="AO232" s="14" t="s">
        <v>561</v>
      </c>
      <c r="AP232" s="12" t="s">
        <v>440</v>
      </c>
      <c r="AQ232" s="14" t="s">
        <v>22</v>
      </c>
      <c r="AR232" s="12" t="s">
        <v>952</v>
      </c>
      <c r="AS232" s="129" t="s">
        <v>1342</v>
      </c>
      <c r="BN232" s="154" t="str">
        <f t="shared" si="19"/>
        <v>LT</v>
      </c>
      <c r="BO232" s="12" t="s">
        <v>184</v>
      </c>
      <c r="BP232" s="16" t="s">
        <v>1405</v>
      </c>
      <c r="BQ232" s="244" t="str">
        <f t="shared" si="20"/>
        <v>{[16_16T]:[G1CW]}</v>
      </c>
      <c r="BR232" s="42" t="str">
        <f t="shared" si="21"/>
        <v>Evans G1 Coated Batter</v>
      </c>
      <c r="CC232" s="9" t="s">
        <v>70</v>
      </c>
      <c r="CD232" s="12" t="s">
        <v>147</v>
      </c>
      <c r="CE232" s="77" t="s">
        <v>1405</v>
      </c>
      <c r="CF232" s="244" t="s">
        <v>1582</v>
      </c>
      <c r="CG232" s="42" t="s">
        <v>1434</v>
      </c>
    </row>
    <row r="233" spans="7:85" x14ac:dyDescent="0.3">
      <c r="G233" s="16" t="s">
        <v>16</v>
      </c>
      <c r="H233" s="12" t="s">
        <v>294</v>
      </c>
      <c r="I233" s="12" t="s">
        <v>309</v>
      </c>
      <c r="J233" s="129" t="str">
        <f t="shared" si="22"/>
        <v>Natural Hoop</v>
      </c>
      <c r="K233" s="129"/>
      <c r="L233" s="129"/>
      <c r="AO233" s="14" t="s">
        <v>561</v>
      </c>
      <c r="AP233" s="12" t="s">
        <v>440</v>
      </c>
      <c r="AQ233" s="14" t="s">
        <v>22</v>
      </c>
      <c r="AR233" s="12" t="s">
        <v>948</v>
      </c>
      <c r="AS233" s="129" t="s">
        <v>1340</v>
      </c>
      <c r="BN233" s="154" t="str">
        <f t="shared" si="19"/>
        <v>LF</v>
      </c>
      <c r="BO233" s="12" t="s">
        <v>131</v>
      </c>
      <c r="BP233" s="16" t="s">
        <v>1405</v>
      </c>
      <c r="BQ233" s="244" t="str">
        <f t="shared" si="20"/>
        <v>{[16_18F]:[G1CW]}</v>
      </c>
      <c r="BR233" s="42" t="str">
        <f t="shared" si="21"/>
        <v>Evans G1 Coated Batter</v>
      </c>
      <c r="CC233" s="9" t="s">
        <v>70</v>
      </c>
      <c r="CD233" s="12" t="s">
        <v>148</v>
      </c>
      <c r="CE233" s="77" t="s">
        <v>1405</v>
      </c>
      <c r="CF233" s="244" t="s">
        <v>1583</v>
      </c>
      <c r="CG233" s="42" t="s">
        <v>1434</v>
      </c>
    </row>
    <row r="234" spans="7:85" x14ac:dyDescent="0.3">
      <c r="G234" s="12" t="s">
        <v>15</v>
      </c>
      <c r="H234" s="12" t="s">
        <v>296</v>
      </c>
      <c r="I234" s="12" t="s">
        <v>60</v>
      </c>
      <c r="J234" s="129" t="str">
        <f t="shared" si="22"/>
        <v>Matching Hoop</v>
      </c>
      <c r="K234" s="129"/>
      <c r="L234" s="129"/>
      <c r="AO234" s="14" t="s">
        <v>561</v>
      </c>
      <c r="AP234" s="12" t="s">
        <v>440</v>
      </c>
      <c r="AQ234" s="14" t="s">
        <v>22</v>
      </c>
      <c r="AR234" s="12" t="s">
        <v>950</v>
      </c>
      <c r="AS234" s="129" t="s">
        <v>1341</v>
      </c>
      <c r="BN234" s="154" t="str">
        <f t="shared" si="19"/>
        <v>LT</v>
      </c>
      <c r="BO234" s="12" t="s">
        <v>205</v>
      </c>
      <c r="BP234" s="16" t="s">
        <v>1405</v>
      </c>
      <c r="BQ234" s="244" t="str">
        <f t="shared" si="20"/>
        <v>{[16_18T]:[G1CW]}</v>
      </c>
      <c r="BR234" s="42" t="str">
        <f t="shared" si="21"/>
        <v>Evans G1 Coated Batter</v>
      </c>
      <c r="CC234" s="9" t="s">
        <v>70</v>
      </c>
      <c r="CD234" s="12" t="s">
        <v>149</v>
      </c>
      <c r="CE234" s="77" t="s">
        <v>1405</v>
      </c>
      <c r="CF234" s="244" t="s">
        <v>1584</v>
      </c>
      <c r="CG234" s="42" t="s">
        <v>1434</v>
      </c>
    </row>
    <row r="235" spans="7:85" x14ac:dyDescent="0.3">
      <c r="G235" s="12" t="s">
        <v>15</v>
      </c>
      <c r="H235" s="12" t="s">
        <v>296</v>
      </c>
      <c r="I235" s="105" t="s">
        <v>1259</v>
      </c>
      <c r="J235" s="129" t="str">
        <f t="shared" si="22"/>
        <v>Matching Hoop w/Accent</v>
      </c>
      <c r="K235" s="129"/>
      <c r="L235" s="129"/>
      <c r="AO235" s="14" t="s">
        <v>561</v>
      </c>
      <c r="AP235" s="12" t="s">
        <v>440</v>
      </c>
      <c r="AQ235" s="14" t="s">
        <v>22</v>
      </c>
      <c r="AR235" s="12" t="s">
        <v>954</v>
      </c>
      <c r="AS235" s="129" t="s">
        <v>1343</v>
      </c>
      <c r="BN235" s="154" t="str">
        <f t="shared" si="19"/>
        <v>LS</v>
      </c>
      <c r="BO235" s="12" t="s">
        <v>186</v>
      </c>
      <c r="BP235" s="16" t="s">
        <v>1405</v>
      </c>
      <c r="BQ235" s="244" t="str">
        <f t="shared" si="20"/>
        <v>{[6_12S]:[G1CW]}</v>
      </c>
      <c r="BR235" s="42" t="str">
        <f t="shared" si="21"/>
        <v>Evans G1 Coated Batter</v>
      </c>
      <c r="CC235" s="9" t="s">
        <v>70</v>
      </c>
      <c r="CD235" s="12" t="s">
        <v>150</v>
      </c>
      <c r="CE235" s="77" t="s">
        <v>1405</v>
      </c>
      <c r="CF235" s="244" t="s">
        <v>1585</v>
      </c>
      <c r="CG235" s="42" t="s">
        <v>1434</v>
      </c>
    </row>
    <row r="236" spans="7:85" x14ac:dyDescent="0.3">
      <c r="G236" s="12" t="s">
        <v>15</v>
      </c>
      <c r="H236" s="12" t="s">
        <v>296</v>
      </c>
      <c r="I236" s="12" t="s">
        <v>309</v>
      </c>
      <c r="J236" s="129" t="str">
        <f t="shared" si="22"/>
        <v>Natural Hoop</v>
      </c>
      <c r="K236" s="129"/>
      <c r="L236" s="129"/>
      <c r="AO236" s="14" t="s">
        <v>561</v>
      </c>
      <c r="AP236" s="12" t="s">
        <v>64</v>
      </c>
      <c r="AQ236" s="14" t="s">
        <v>518</v>
      </c>
      <c r="AR236" s="12" t="s">
        <v>952</v>
      </c>
      <c r="AS236" s="129" t="s">
        <v>1342</v>
      </c>
      <c r="BN236" s="154" t="str">
        <f t="shared" si="19"/>
        <v>LS</v>
      </c>
      <c r="BO236" s="12" t="s">
        <v>187</v>
      </c>
      <c r="BP236" s="16" t="s">
        <v>1405</v>
      </c>
      <c r="BQ236" s="244" t="str">
        <f t="shared" si="20"/>
        <v>{[3H_13S]:[G1CW]}</v>
      </c>
      <c r="BR236" s="42" t="str">
        <f t="shared" si="21"/>
        <v>Evans G1 Coated Batter</v>
      </c>
      <c r="CC236" s="9" t="s">
        <v>70</v>
      </c>
      <c r="CD236" s="12" t="s">
        <v>151</v>
      </c>
      <c r="CE236" s="77" t="s">
        <v>1405</v>
      </c>
      <c r="CF236" s="244" t="s">
        <v>1586</v>
      </c>
      <c r="CG236" s="42" t="s">
        <v>1434</v>
      </c>
    </row>
    <row r="237" spans="7:85" x14ac:dyDescent="0.3">
      <c r="G237" s="16" t="s">
        <v>16</v>
      </c>
      <c r="H237" s="12" t="s">
        <v>296</v>
      </c>
      <c r="I237" s="12" t="s">
        <v>60</v>
      </c>
      <c r="J237" s="129" t="str">
        <f t="shared" si="22"/>
        <v>Matching Hoop</v>
      </c>
      <c r="K237" s="129"/>
      <c r="L237" s="129"/>
      <c r="AO237" s="14" t="s">
        <v>561</v>
      </c>
      <c r="AP237" s="12" t="s">
        <v>64</v>
      </c>
      <c r="AQ237" s="14" t="s">
        <v>518</v>
      </c>
      <c r="AR237" s="12" t="s">
        <v>946</v>
      </c>
      <c r="AS237" s="129" t="s">
        <v>1339</v>
      </c>
      <c r="BN237" s="154" t="str">
        <f t="shared" si="19"/>
        <v>LS</v>
      </c>
      <c r="BO237" s="12" t="s">
        <v>189</v>
      </c>
      <c r="BP237" s="16" t="s">
        <v>1405</v>
      </c>
      <c r="BQ237" s="244" t="str">
        <f t="shared" si="20"/>
        <v>{[6_13S]:[G1CW]}</v>
      </c>
      <c r="BR237" s="42" t="str">
        <f t="shared" si="21"/>
        <v>Evans G1 Coated Batter</v>
      </c>
      <c r="CC237" s="9" t="s">
        <v>70</v>
      </c>
      <c r="CD237" s="12" t="s">
        <v>157</v>
      </c>
      <c r="CE237" s="77" t="s">
        <v>1405</v>
      </c>
      <c r="CF237" s="244" t="s">
        <v>1587</v>
      </c>
      <c r="CG237" s="42" t="s">
        <v>1434</v>
      </c>
    </row>
    <row r="238" spans="7:85" x14ac:dyDescent="0.3">
      <c r="G238" s="16" t="s">
        <v>16</v>
      </c>
      <c r="H238" s="12" t="s">
        <v>296</v>
      </c>
      <c r="I238" s="105" t="s">
        <v>1259</v>
      </c>
      <c r="J238" s="129" t="str">
        <f t="shared" si="22"/>
        <v>Matching Hoop w/Accent</v>
      </c>
      <c r="K238" s="129"/>
      <c r="L238" s="129"/>
      <c r="AO238" s="14" t="s">
        <v>561</v>
      </c>
      <c r="AP238" s="12" t="s">
        <v>64</v>
      </c>
      <c r="AQ238" s="14" t="s">
        <v>518</v>
      </c>
      <c r="AR238" s="12" t="s">
        <v>950</v>
      </c>
      <c r="AS238" s="129" t="s">
        <v>1341</v>
      </c>
      <c r="BN238" s="154" t="str">
        <f t="shared" si="19"/>
        <v>LS</v>
      </c>
      <c r="BO238" s="12" t="s">
        <v>191</v>
      </c>
      <c r="BP238" s="16" t="s">
        <v>1405</v>
      </c>
      <c r="BQ238" s="244" t="str">
        <f t="shared" si="20"/>
        <v>{[5_14S]:[G1CW]}</v>
      </c>
      <c r="BR238" s="42" t="str">
        <f t="shared" si="21"/>
        <v>Evans G1 Coated Batter</v>
      </c>
      <c r="CC238" s="9" t="s">
        <v>70</v>
      </c>
      <c r="CD238" s="12" t="s">
        <v>163</v>
      </c>
      <c r="CE238" s="77" t="s">
        <v>1405</v>
      </c>
      <c r="CF238" s="244" t="s">
        <v>1588</v>
      </c>
      <c r="CG238" s="42" t="s">
        <v>1434</v>
      </c>
    </row>
    <row r="239" spans="7:85" x14ac:dyDescent="0.3">
      <c r="G239" s="16" t="s">
        <v>16</v>
      </c>
      <c r="H239" s="12" t="s">
        <v>296</v>
      </c>
      <c r="I239" s="12" t="s">
        <v>309</v>
      </c>
      <c r="J239" s="129" t="str">
        <f t="shared" si="22"/>
        <v>Natural Hoop</v>
      </c>
      <c r="K239" s="129"/>
      <c r="L239" s="129"/>
      <c r="AO239" s="14" t="s">
        <v>561</v>
      </c>
      <c r="AP239" s="12" t="s">
        <v>64</v>
      </c>
      <c r="AQ239" s="14" t="s">
        <v>518</v>
      </c>
      <c r="AR239" s="12" t="s">
        <v>954</v>
      </c>
      <c r="AS239" s="129" t="s">
        <v>1343</v>
      </c>
      <c r="BN239" s="154" t="str">
        <f t="shared" si="19"/>
        <v>LS</v>
      </c>
      <c r="BO239" s="12" t="s">
        <v>196</v>
      </c>
      <c r="BP239" s="16" t="s">
        <v>1405</v>
      </c>
      <c r="BQ239" s="244" t="str">
        <f t="shared" si="20"/>
        <v>{[5_14x8S]:[G1CW]}</v>
      </c>
      <c r="BR239" s="42" t="str">
        <f t="shared" si="21"/>
        <v>Evans G1 Coated Batter</v>
      </c>
      <c r="CC239" s="9" t="s">
        <v>70</v>
      </c>
      <c r="CD239" s="12" t="s">
        <v>169</v>
      </c>
      <c r="CE239" s="77" t="s">
        <v>1405</v>
      </c>
      <c r="CF239" s="244" t="s">
        <v>1589</v>
      </c>
      <c r="CG239" s="42" t="s">
        <v>1434</v>
      </c>
    </row>
    <row r="240" spans="7:85" x14ac:dyDescent="0.3">
      <c r="G240" s="12" t="s">
        <v>15</v>
      </c>
      <c r="H240" s="12" t="s">
        <v>339</v>
      </c>
      <c r="I240" s="12" t="s">
        <v>902</v>
      </c>
      <c r="J240" s="129" t="str">
        <f t="shared" si="22"/>
        <v>Satin Sable w/Inlay</v>
      </c>
      <c r="K240" s="129"/>
      <c r="L240" s="129"/>
      <c r="AO240" s="14" t="s">
        <v>561</v>
      </c>
      <c r="AP240" s="12" t="s">
        <v>64</v>
      </c>
      <c r="AQ240" s="14" t="s">
        <v>16</v>
      </c>
      <c r="AR240" s="12" t="s">
        <v>946</v>
      </c>
      <c r="AS240" s="129" t="s">
        <v>1339</v>
      </c>
      <c r="BN240" s="154" t="str">
        <f t="shared" si="19"/>
        <v>LS</v>
      </c>
      <c r="BO240" s="12" t="s">
        <v>197</v>
      </c>
      <c r="BP240" s="16" t="s">
        <v>1405</v>
      </c>
      <c r="BQ240" s="244" t="str">
        <f t="shared" si="20"/>
        <v>{[5H_14x8S]:[G1CW]}</v>
      </c>
      <c r="BR240" s="42" t="str">
        <f t="shared" si="21"/>
        <v>Evans G1 Coated Batter</v>
      </c>
      <c r="CC240" s="9" t="s">
        <v>70</v>
      </c>
      <c r="CD240" s="12" t="s">
        <v>175</v>
      </c>
      <c r="CE240" s="77" t="s">
        <v>1405</v>
      </c>
      <c r="CF240" s="244" t="s">
        <v>1590</v>
      </c>
      <c r="CG240" s="42" t="s">
        <v>1434</v>
      </c>
    </row>
    <row r="241" spans="7:85" x14ac:dyDescent="0.3">
      <c r="G241" s="12" t="s">
        <v>15</v>
      </c>
      <c r="H241" s="12" t="s">
        <v>339</v>
      </c>
      <c r="I241" s="12" t="s">
        <v>904</v>
      </c>
      <c r="J241" s="129" t="str">
        <f t="shared" si="22"/>
        <v>Satin Natural w/Inlay</v>
      </c>
      <c r="K241" s="129"/>
      <c r="L241" s="129"/>
      <c r="AO241" s="14" t="s">
        <v>561</v>
      </c>
      <c r="AP241" s="12" t="s">
        <v>64</v>
      </c>
      <c r="AQ241" s="14" t="s">
        <v>16</v>
      </c>
      <c r="AR241" s="12" t="s">
        <v>950</v>
      </c>
      <c r="AS241" s="129" t="s">
        <v>1341</v>
      </c>
      <c r="BN241" s="154" t="str">
        <f t="shared" si="19"/>
        <v>LS</v>
      </c>
      <c r="BO241" s="12" t="s">
        <v>193</v>
      </c>
      <c r="BP241" s="16" t="s">
        <v>1405</v>
      </c>
      <c r="BQ241" s="244" t="str">
        <f t="shared" si="20"/>
        <v>{[6H_14S]:[G1CW]}</v>
      </c>
      <c r="BR241" s="42" t="str">
        <f t="shared" si="21"/>
        <v>Evans G1 Coated Batter</v>
      </c>
      <c r="CC241" s="9" t="s">
        <v>70</v>
      </c>
      <c r="CD241" s="12" t="s">
        <v>176</v>
      </c>
      <c r="CE241" s="77" t="s">
        <v>1405</v>
      </c>
      <c r="CF241" s="244" t="s">
        <v>1591</v>
      </c>
      <c r="CG241" s="42" t="s">
        <v>1434</v>
      </c>
    </row>
    <row r="242" spans="7:85" x14ac:dyDescent="0.3">
      <c r="G242" s="12" t="s">
        <v>15</v>
      </c>
      <c r="H242" s="12" t="s">
        <v>339</v>
      </c>
      <c r="I242" s="12" t="s">
        <v>26</v>
      </c>
      <c r="J242" s="129" t="str">
        <f t="shared" si="22"/>
        <v>Satin Sable</v>
      </c>
      <c r="K242" s="129"/>
      <c r="L242" s="129"/>
      <c r="AO242" s="14" t="s">
        <v>561</v>
      </c>
      <c r="AP242" s="12" t="s">
        <v>64</v>
      </c>
      <c r="AQ242" s="14" t="s">
        <v>16</v>
      </c>
      <c r="AR242" s="12" t="s">
        <v>954</v>
      </c>
      <c r="AS242" s="129" t="s">
        <v>1343</v>
      </c>
      <c r="BN242" s="154" t="str">
        <f t="shared" si="19"/>
        <v>LS</v>
      </c>
      <c r="BO242" s="12" t="s">
        <v>198</v>
      </c>
      <c r="BP242" s="16" t="s">
        <v>1405</v>
      </c>
      <c r="BQ242" s="244" t="str">
        <f t="shared" si="20"/>
        <v>{[6H_14x8S]:[G1CW]}</v>
      </c>
      <c r="BR242" s="42" t="str">
        <f t="shared" si="21"/>
        <v>Evans G1 Coated Batter</v>
      </c>
      <c r="CC242" s="9" t="s">
        <v>70</v>
      </c>
      <c r="CD242" s="12" t="s">
        <v>178</v>
      </c>
      <c r="CE242" s="77" t="s">
        <v>1405</v>
      </c>
      <c r="CF242" s="244" t="s">
        <v>1592</v>
      </c>
      <c r="CG242" s="42" t="s">
        <v>1434</v>
      </c>
    </row>
    <row r="243" spans="7:85" x14ac:dyDescent="0.3">
      <c r="G243" s="12" t="s">
        <v>15</v>
      </c>
      <c r="H243" s="12" t="s">
        <v>339</v>
      </c>
      <c r="I243" s="12" t="s">
        <v>914</v>
      </c>
      <c r="J243" s="129" t="str">
        <f t="shared" si="22"/>
        <v>Satin Sable w/Accent</v>
      </c>
      <c r="K243" s="129"/>
      <c r="L243" s="129"/>
      <c r="AO243" s="14" t="s">
        <v>561</v>
      </c>
      <c r="AP243" s="12" t="s">
        <v>64</v>
      </c>
      <c r="AQ243" s="14" t="s">
        <v>22</v>
      </c>
      <c r="AR243" s="12" t="s">
        <v>952</v>
      </c>
      <c r="AS243" s="129" t="s">
        <v>1342</v>
      </c>
      <c r="BN243" s="154" t="str">
        <f t="shared" si="19"/>
        <v>LS</v>
      </c>
      <c r="BO243" s="12" t="s">
        <v>441</v>
      </c>
      <c r="BP243" s="16" t="s">
        <v>1405</v>
      </c>
      <c r="BQ243" s="244" t="str">
        <f t="shared" si="20"/>
        <v>{[7_14S]:[G1CW]}</v>
      </c>
      <c r="BR243" s="42" t="str">
        <f t="shared" si="21"/>
        <v>Evans G1 Coated Batter</v>
      </c>
      <c r="CC243" s="9" t="s">
        <v>70</v>
      </c>
      <c r="CD243" s="12" t="s">
        <v>179</v>
      </c>
      <c r="CE243" s="77" t="s">
        <v>1405</v>
      </c>
      <c r="CF243" s="244" t="s">
        <v>1593</v>
      </c>
      <c r="CG243" s="42" t="s">
        <v>1434</v>
      </c>
    </row>
    <row r="244" spans="7:85" x14ac:dyDescent="0.3">
      <c r="G244" s="12" t="s">
        <v>15</v>
      </c>
      <c r="H244" s="12" t="s">
        <v>339</v>
      </c>
      <c r="I244" s="12" t="s">
        <v>321</v>
      </c>
      <c r="J244" s="129" t="str">
        <f t="shared" si="22"/>
        <v>Satin Natural</v>
      </c>
      <c r="K244" s="129"/>
      <c r="L244" s="129"/>
      <c r="AO244" s="14" t="s">
        <v>561</v>
      </c>
      <c r="AP244" s="12" t="s">
        <v>64</v>
      </c>
      <c r="AQ244" s="14" t="s">
        <v>22</v>
      </c>
      <c r="AR244" s="12" t="s">
        <v>946</v>
      </c>
      <c r="AS244" s="129" t="s">
        <v>1339</v>
      </c>
      <c r="BN244" s="154" t="str">
        <f t="shared" si="19"/>
        <v>LS</v>
      </c>
      <c r="BO244" s="12" t="s">
        <v>194</v>
      </c>
      <c r="BP244" s="16" t="s">
        <v>1405</v>
      </c>
      <c r="BQ244" s="244" t="str">
        <f t="shared" si="20"/>
        <v>{[8_14S]:[G1CW]}</v>
      </c>
      <c r="BR244" s="42" t="str">
        <f t="shared" si="21"/>
        <v>Evans G1 Coated Batter</v>
      </c>
      <c r="CC244" s="9" t="s">
        <v>70</v>
      </c>
      <c r="CD244" s="12" t="s">
        <v>180</v>
      </c>
      <c r="CE244" s="77" t="s">
        <v>1405</v>
      </c>
      <c r="CF244" s="244" t="s">
        <v>1594</v>
      </c>
      <c r="CG244" s="42" t="s">
        <v>1434</v>
      </c>
    </row>
    <row r="245" spans="7:85" x14ac:dyDescent="0.3">
      <c r="G245" s="12" t="s">
        <v>15</v>
      </c>
      <c r="H245" s="12" t="s">
        <v>339</v>
      </c>
      <c r="I245" s="12" t="s">
        <v>912</v>
      </c>
      <c r="J245" s="129" t="str">
        <f t="shared" si="22"/>
        <v>Satin Natural w/Accent</v>
      </c>
      <c r="K245" s="129"/>
      <c r="L245" s="129"/>
      <c r="AO245" s="14" t="s">
        <v>561</v>
      </c>
      <c r="AP245" s="12" t="s">
        <v>64</v>
      </c>
      <c r="AQ245" s="14" t="s">
        <v>22</v>
      </c>
      <c r="AR245" s="12" t="s">
        <v>950</v>
      </c>
      <c r="AS245" s="129" t="s">
        <v>1341</v>
      </c>
      <c r="BN245" s="154" t="str">
        <f t="shared" si="19"/>
        <v>LS</v>
      </c>
      <c r="BO245" s="12" t="s">
        <v>203</v>
      </c>
      <c r="BP245" s="16" t="s">
        <v>1405</v>
      </c>
      <c r="BQ245" s="244" t="str">
        <f t="shared" si="20"/>
        <v>{[10_14S]:[G1CW]}</v>
      </c>
      <c r="BR245" s="42" t="str">
        <f t="shared" si="21"/>
        <v>Evans G1 Coated Batter</v>
      </c>
      <c r="CC245" s="9" t="s">
        <v>70</v>
      </c>
      <c r="CD245" s="12" t="s">
        <v>181</v>
      </c>
      <c r="CE245" s="77" t="s">
        <v>1405</v>
      </c>
      <c r="CF245" s="244" t="s">
        <v>1595</v>
      </c>
      <c r="CG245" s="42" t="s">
        <v>1434</v>
      </c>
    </row>
    <row r="246" spans="7:85" x14ac:dyDescent="0.3">
      <c r="G246" s="12" t="s">
        <v>15</v>
      </c>
      <c r="H246" s="12" t="s">
        <v>339</v>
      </c>
      <c r="I246" s="12" t="s">
        <v>309</v>
      </c>
      <c r="J246" s="129" t="str">
        <f t="shared" si="22"/>
        <v>Natural Hoop</v>
      </c>
      <c r="K246" s="129"/>
      <c r="L246" s="129"/>
      <c r="AO246" s="14" t="s">
        <v>561</v>
      </c>
      <c r="AP246" s="12" t="s">
        <v>64</v>
      </c>
      <c r="AQ246" s="14" t="s">
        <v>22</v>
      </c>
      <c r="AR246" s="12" t="s">
        <v>954</v>
      </c>
      <c r="AS246" s="129" t="s">
        <v>1343</v>
      </c>
      <c r="BN246" s="154" t="str">
        <f t="shared" si="19"/>
        <v>LS</v>
      </c>
      <c r="BO246" s="12" t="s">
        <v>190</v>
      </c>
      <c r="BP246" s="16" t="s">
        <v>1405</v>
      </c>
      <c r="BQ246" s="244" t="str">
        <f t="shared" si="20"/>
        <v>{[4_14S]:[G1CW]}</v>
      </c>
      <c r="BR246" s="42" t="str">
        <f t="shared" si="21"/>
        <v>Evans G1 Coated Batter</v>
      </c>
      <c r="CC246" s="9" t="s">
        <v>70</v>
      </c>
      <c r="CD246" s="12" t="s">
        <v>182</v>
      </c>
      <c r="CE246" s="77" t="s">
        <v>1405</v>
      </c>
      <c r="CF246" s="244" t="s">
        <v>1596</v>
      </c>
      <c r="CG246" s="42" t="s">
        <v>1434</v>
      </c>
    </row>
    <row r="247" spans="7:85" x14ac:dyDescent="0.3">
      <c r="G247" s="12" t="s">
        <v>15</v>
      </c>
      <c r="H247" s="12" t="s">
        <v>339</v>
      </c>
      <c r="I247" s="12" t="s">
        <v>907</v>
      </c>
      <c r="J247" s="129" t="str">
        <f t="shared" si="22"/>
        <v>Natural w/Inlay</v>
      </c>
      <c r="K247" s="129"/>
      <c r="L247" s="129"/>
      <c r="AO247" s="14" t="s">
        <v>561</v>
      </c>
      <c r="AP247" s="12" t="s">
        <v>77</v>
      </c>
      <c r="AQ247" s="14" t="s">
        <v>518</v>
      </c>
      <c r="AR247" s="12" t="s">
        <v>952</v>
      </c>
      <c r="AS247" s="129" t="s">
        <v>1342</v>
      </c>
      <c r="BN247" s="154" t="str">
        <f t="shared" si="19"/>
        <v>LS</v>
      </c>
      <c r="BO247" s="12" t="s">
        <v>195</v>
      </c>
      <c r="BP247" s="16" t="s">
        <v>1405</v>
      </c>
      <c r="BQ247" s="244" t="str">
        <f t="shared" si="20"/>
        <v>{[4_14x8S]:[G1CW]}</v>
      </c>
      <c r="BR247" s="42" t="str">
        <f t="shared" si="21"/>
        <v>Evans G1 Coated Batter</v>
      </c>
      <c r="CC247" s="9" t="s">
        <v>70</v>
      </c>
      <c r="CD247" s="12" t="s">
        <v>183</v>
      </c>
      <c r="CE247" s="77" t="s">
        <v>1405</v>
      </c>
      <c r="CF247" s="244" t="s">
        <v>1597</v>
      </c>
      <c r="CG247" s="42" t="s">
        <v>1434</v>
      </c>
    </row>
    <row r="248" spans="7:85" x14ac:dyDescent="0.3">
      <c r="G248" s="12" t="s">
        <v>15</v>
      </c>
      <c r="H248" s="12" t="s">
        <v>339</v>
      </c>
      <c r="I248" s="12" t="s">
        <v>909</v>
      </c>
      <c r="J248" s="129" t="str">
        <f t="shared" si="22"/>
        <v>Natural w/Accent</v>
      </c>
      <c r="K248" s="129"/>
      <c r="L248" s="129"/>
      <c r="AO248" s="14" t="s">
        <v>561</v>
      </c>
      <c r="AP248" s="12" t="s">
        <v>77</v>
      </c>
      <c r="AQ248" s="14" t="s">
        <v>518</v>
      </c>
      <c r="AR248" s="12" t="s">
        <v>948</v>
      </c>
      <c r="AS248" s="129" t="s">
        <v>1340</v>
      </c>
      <c r="BN248" s="154" t="str">
        <f t="shared" si="19"/>
        <v>LT</v>
      </c>
      <c r="BO248" s="12" t="s">
        <v>206</v>
      </c>
      <c r="BP248" s="16" t="s">
        <v>1407</v>
      </c>
      <c r="BQ248" s="244" t="str">
        <f t="shared" si="20"/>
        <v>{[6_6T]:[G2CW]}</v>
      </c>
      <c r="BR248" s="42" t="str">
        <f t="shared" si="21"/>
        <v>Evans G2 Coated Batter</v>
      </c>
      <c r="CC248" s="9" t="s">
        <v>70</v>
      </c>
      <c r="CD248" s="12" t="s">
        <v>184</v>
      </c>
      <c r="CE248" s="77" t="s">
        <v>1405</v>
      </c>
      <c r="CF248" s="244" t="s">
        <v>1598</v>
      </c>
      <c r="CG248" s="42" t="s">
        <v>1434</v>
      </c>
    </row>
    <row r="249" spans="7:85" x14ac:dyDescent="0.3">
      <c r="G249" s="12" t="s">
        <v>15</v>
      </c>
      <c r="H249" s="12" t="s">
        <v>339</v>
      </c>
      <c r="I249" s="12" t="s">
        <v>313</v>
      </c>
      <c r="J249" s="129" t="str">
        <f t="shared" si="22"/>
        <v>Sable Black</v>
      </c>
      <c r="K249" s="129"/>
      <c r="L249" s="129"/>
      <c r="AO249" s="14" t="s">
        <v>561</v>
      </c>
      <c r="AP249" s="12" t="s">
        <v>77</v>
      </c>
      <c r="AQ249" s="14" t="s">
        <v>518</v>
      </c>
      <c r="AR249" s="12" t="s">
        <v>946</v>
      </c>
      <c r="AS249" s="129" t="s">
        <v>1339</v>
      </c>
      <c r="BN249" s="154" t="str">
        <f t="shared" si="19"/>
        <v>LT</v>
      </c>
      <c r="BO249" s="12" t="s">
        <v>132</v>
      </c>
      <c r="BP249" s="16" t="s">
        <v>1407</v>
      </c>
      <c r="BQ249" s="244" t="str">
        <f t="shared" si="20"/>
        <v>{[7_6T]:[G2CW]}</v>
      </c>
      <c r="BR249" s="42" t="str">
        <f t="shared" si="21"/>
        <v>Evans G2 Coated Batter</v>
      </c>
      <c r="CC249" s="9" t="s">
        <v>70</v>
      </c>
      <c r="CD249" s="12" t="s">
        <v>205</v>
      </c>
      <c r="CE249" s="77" t="s">
        <v>1405</v>
      </c>
      <c r="CF249" s="244" t="s">
        <v>1599</v>
      </c>
      <c r="CG249" s="42" t="s">
        <v>1434</v>
      </c>
    </row>
    <row r="250" spans="7:85" x14ac:dyDescent="0.3">
      <c r="G250" s="12" t="s">
        <v>16</v>
      </c>
      <c r="H250" s="12" t="s">
        <v>339</v>
      </c>
      <c r="I250" s="12" t="s">
        <v>902</v>
      </c>
      <c r="J250" s="129" t="str">
        <f t="shared" si="22"/>
        <v>Satin Sable w/Inlay</v>
      </c>
      <c r="K250" s="129"/>
      <c r="L250" s="129"/>
      <c r="AO250" s="14" t="s">
        <v>561</v>
      </c>
      <c r="AP250" s="12" t="s">
        <v>77</v>
      </c>
      <c r="AQ250" s="14" t="s">
        <v>518</v>
      </c>
      <c r="AR250" s="12" t="s">
        <v>950</v>
      </c>
      <c r="AS250" s="129" t="s">
        <v>1341</v>
      </c>
      <c r="BN250" s="154" t="str">
        <f t="shared" si="19"/>
        <v>LT</v>
      </c>
      <c r="BO250" s="12" t="s">
        <v>133</v>
      </c>
      <c r="BP250" s="16" t="s">
        <v>1407</v>
      </c>
      <c r="BQ250" s="244" t="str">
        <f t="shared" si="20"/>
        <v>{[8_6T]:[G2CW]}</v>
      </c>
      <c r="BR250" s="42" t="str">
        <f t="shared" si="21"/>
        <v>Evans G2 Coated Batter</v>
      </c>
      <c r="CC250" s="12" t="s">
        <v>56</v>
      </c>
      <c r="CD250" s="12" t="s">
        <v>110</v>
      </c>
      <c r="CE250" s="77" t="s">
        <v>1405</v>
      </c>
      <c r="CF250" s="244" t="s">
        <v>1600</v>
      </c>
      <c r="CG250" s="42" t="s">
        <v>1434</v>
      </c>
    </row>
    <row r="251" spans="7:85" x14ac:dyDescent="0.3">
      <c r="G251" s="12" t="s">
        <v>16</v>
      </c>
      <c r="H251" s="12" t="s">
        <v>339</v>
      </c>
      <c r="I251" s="12" t="s">
        <v>904</v>
      </c>
      <c r="J251" s="129" t="str">
        <f t="shared" si="22"/>
        <v>Satin Natural w/Inlay</v>
      </c>
      <c r="K251" s="129"/>
      <c r="L251" s="129"/>
      <c r="AO251" s="14" t="s">
        <v>561</v>
      </c>
      <c r="AP251" s="12" t="s">
        <v>77</v>
      </c>
      <c r="AQ251" s="14" t="s">
        <v>518</v>
      </c>
      <c r="AR251" s="12" t="s">
        <v>954</v>
      </c>
      <c r="AS251" s="129" t="s">
        <v>1343</v>
      </c>
      <c r="BN251" s="154" t="str">
        <f t="shared" si="19"/>
        <v>LT</v>
      </c>
      <c r="BO251" s="12" t="s">
        <v>207</v>
      </c>
      <c r="BP251" s="16" t="s">
        <v>1407</v>
      </c>
      <c r="BQ251" s="244" t="str">
        <f t="shared" si="20"/>
        <v>{[6_8T]:[G2CW]}</v>
      </c>
      <c r="BR251" s="42" t="str">
        <f t="shared" si="21"/>
        <v>Evans G2 Coated Batter</v>
      </c>
      <c r="CC251" s="12" t="s">
        <v>56</v>
      </c>
      <c r="CD251" s="12" t="s">
        <v>113</v>
      </c>
      <c r="CE251" s="77" t="s">
        <v>1405</v>
      </c>
      <c r="CF251" s="244" t="s">
        <v>1601</v>
      </c>
      <c r="CG251" s="42" t="s">
        <v>1434</v>
      </c>
    </row>
    <row r="252" spans="7:85" x14ac:dyDescent="0.3">
      <c r="G252" s="12" t="s">
        <v>16</v>
      </c>
      <c r="H252" s="12" t="s">
        <v>339</v>
      </c>
      <c r="I252" s="12" t="s">
        <v>26</v>
      </c>
      <c r="J252" s="129" t="str">
        <f t="shared" si="22"/>
        <v>Satin Sable</v>
      </c>
      <c r="K252" s="129"/>
      <c r="L252" s="129"/>
      <c r="AO252" s="14" t="s">
        <v>561</v>
      </c>
      <c r="AP252" s="12" t="s">
        <v>77</v>
      </c>
      <c r="AQ252" s="14" t="s">
        <v>16</v>
      </c>
      <c r="AR252" s="12" t="s">
        <v>948</v>
      </c>
      <c r="AS252" s="129" t="s">
        <v>1340</v>
      </c>
      <c r="BN252" s="154" t="str">
        <f t="shared" si="19"/>
        <v>LT</v>
      </c>
      <c r="BO252" s="12" t="s">
        <v>134</v>
      </c>
      <c r="BP252" s="16" t="s">
        <v>1407</v>
      </c>
      <c r="BQ252" s="244" t="str">
        <f t="shared" si="20"/>
        <v>{[7_8T]:[G2CW]}</v>
      </c>
      <c r="BR252" s="42" t="str">
        <f t="shared" si="21"/>
        <v>Evans G2 Coated Batter</v>
      </c>
      <c r="CC252" s="12" t="s">
        <v>56</v>
      </c>
      <c r="CD252" s="12" t="s">
        <v>116</v>
      </c>
      <c r="CE252" s="77" t="s">
        <v>1405</v>
      </c>
      <c r="CF252" s="244" t="s">
        <v>1602</v>
      </c>
      <c r="CG252" s="42" t="s">
        <v>1434</v>
      </c>
    </row>
    <row r="253" spans="7:85" x14ac:dyDescent="0.3">
      <c r="G253" s="12" t="s">
        <v>16</v>
      </c>
      <c r="H253" s="12" t="s">
        <v>339</v>
      </c>
      <c r="I253" s="12" t="s">
        <v>914</v>
      </c>
      <c r="J253" s="129" t="str">
        <f t="shared" si="22"/>
        <v>Satin Sable w/Accent</v>
      </c>
      <c r="K253" s="129"/>
      <c r="L253" s="129"/>
      <c r="AO253" s="14" t="s">
        <v>561</v>
      </c>
      <c r="AP253" s="12" t="s">
        <v>77</v>
      </c>
      <c r="AQ253" s="14" t="s">
        <v>16</v>
      </c>
      <c r="AR253" s="12" t="s">
        <v>946</v>
      </c>
      <c r="AS253" s="129" t="s">
        <v>1339</v>
      </c>
      <c r="BN253" s="154" t="str">
        <f t="shared" si="19"/>
        <v>LT</v>
      </c>
      <c r="BO253" s="12" t="s">
        <v>136</v>
      </c>
      <c r="BP253" s="16" t="s">
        <v>1407</v>
      </c>
      <c r="BQ253" s="244" t="str">
        <f t="shared" si="20"/>
        <v>{[8_8T]:[G2CW]}</v>
      </c>
      <c r="BR253" s="42" t="str">
        <f t="shared" si="21"/>
        <v>Evans G2 Coated Batter</v>
      </c>
      <c r="CC253" s="12" t="s">
        <v>56</v>
      </c>
      <c r="CD253" s="12" t="s">
        <v>118</v>
      </c>
      <c r="CE253" s="77" t="s">
        <v>1405</v>
      </c>
      <c r="CF253" s="244" t="s">
        <v>1603</v>
      </c>
      <c r="CG253" s="42" t="s">
        <v>1434</v>
      </c>
    </row>
    <row r="254" spans="7:85" x14ac:dyDescent="0.3">
      <c r="G254" s="12" t="s">
        <v>16</v>
      </c>
      <c r="H254" s="12" t="s">
        <v>339</v>
      </c>
      <c r="I254" s="12" t="s">
        <v>321</v>
      </c>
      <c r="J254" s="129" t="str">
        <f t="shared" si="22"/>
        <v>Satin Natural</v>
      </c>
      <c r="K254" s="129"/>
      <c r="L254" s="129"/>
      <c r="AO254" s="14" t="s">
        <v>561</v>
      </c>
      <c r="AP254" s="12" t="s">
        <v>77</v>
      </c>
      <c r="AQ254" s="14" t="s">
        <v>16</v>
      </c>
      <c r="AR254" s="12" t="s">
        <v>950</v>
      </c>
      <c r="AS254" s="129" t="s">
        <v>1341</v>
      </c>
      <c r="BN254" s="154" t="str">
        <f t="shared" si="19"/>
        <v>LT</v>
      </c>
      <c r="BO254" s="12" t="s">
        <v>137</v>
      </c>
      <c r="BP254" s="16" t="s">
        <v>1407</v>
      </c>
      <c r="BQ254" s="244" t="str">
        <f t="shared" si="20"/>
        <v>{[7_10T]:[G2CW]}</v>
      </c>
      <c r="BR254" s="42" t="str">
        <f t="shared" si="21"/>
        <v>Evans G2 Coated Batter</v>
      </c>
      <c r="CC254" s="12" t="s">
        <v>56</v>
      </c>
      <c r="CD254" s="12" t="s">
        <v>122</v>
      </c>
      <c r="CE254" s="77" t="s">
        <v>1405</v>
      </c>
      <c r="CF254" s="244" t="s">
        <v>1604</v>
      </c>
      <c r="CG254" s="42" t="s">
        <v>1434</v>
      </c>
    </row>
    <row r="255" spans="7:85" x14ac:dyDescent="0.3">
      <c r="G255" s="12" t="s">
        <v>16</v>
      </c>
      <c r="H255" s="12" t="s">
        <v>339</v>
      </c>
      <c r="I255" s="12" t="s">
        <v>912</v>
      </c>
      <c r="J255" s="129" t="str">
        <f t="shared" si="22"/>
        <v>Satin Natural w/Accent</v>
      </c>
      <c r="K255" s="129"/>
      <c r="L255" s="129"/>
      <c r="AO255" s="14" t="s">
        <v>561</v>
      </c>
      <c r="AP255" s="12" t="s">
        <v>77</v>
      </c>
      <c r="AQ255" s="14" t="s">
        <v>16</v>
      </c>
      <c r="AR255" s="12" t="s">
        <v>954</v>
      </c>
      <c r="AS255" s="129" t="s">
        <v>1343</v>
      </c>
      <c r="BN255" s="154" t="str">
        <f t="shared" si="19"/>
        <v>LT</v>
      </c>
      <c r="BO255" s="12" t="s">
        <v>138</v>
      </c>
      <c r="BP255" s="16" t="s">
        <v>1407</v>
      </c>
      <c r="BQ255" s="244" t="str">
        <f t="shared" si="20"/>
        <v>{[7H_10T]:[G2CW]}</v>
      </c>
      <c r="BR255" s="42" t="str">
        <f t="shared" si="21"/>
        <v>Evans G2 Coated Batter</v>
      </c>
      <c r="CC255" s="12" t="s">
        <v>56</v>
      </c>
      <c r="CD255" s="12" t="s">
        <v>125</v>
      </c>
      <c r="CE255" s="77" t="s">
        <v>1405</v>
      </c>
      <c r="CF255" s="244" t="s">
        <v>1605</v>
      </c>
      <c r="CG255" s="42" t="s">
        <v>1434</v>
      </c>
    </row>
    <row r="256" spans="7:85" x14ac:dyDescent="0.3">
      <c r="G256" s="12" t="s">
        <v>16</v>
      </c>
      <c r="H256" s="12" t="s">
        <v>339</v>
      </c>
      <c r="I256" s="12" t="s">
        <v>309</v>
      </c>
      <c r="J256" s="129" t="str">
        <f t="shared" si="22"/>
        <v>Natural Hoop</v>
      </c>
      <c r="K256" s="129"/>
      <c r="L256" s="129"/>
      <c r="AO256" s="14" t="s">
        <v>561</v>
      </c>
      <c r="AP256" s="12" t="s">
        <v>77</v>
      </c>
      <c r="AQ256" s="14" t="s">
        <v>22</v>
      </c>
      <c r="AR256" s="12" t="s">
        <v>952</v>
      </c>
      <c r="AS256" s="129" t="s">
        <v>1342</v>
      </c>
      <c r="BN256" s="154" t="str">
        <f t="shared" si="19"/>
        <v>LT</v>
      </c>
      <c r="BO256" s="12" t="s">
        <v>139</v>
      </c>
      <c r="BP256" s="16" t="s">
        <v>1407</v>
      </c>
      <c r="BQ256" s="244" t="str">
        <f t="shared" si="20"/>
        <v>{[8_10T]:[G2CW]}</v>
      </c>
      <c r="BR256" s="42" t="str">
        <f t="shared" si="21"/>
        <v>Evans G2 Coated Batter</v>
      </c>
      <c r="CC256" s="12" t="s">
        <v>56</v>
      </c>
      <c r="CD256" s="12" t="s">
        <v>126</v>
      </c>
      <c r="CE256" s="77" t="s">
        <v>1405</v>
      </c>
      <c r="CF256" s="244" t="s">
        <v>1606</v>
      </c>
      <c r="CG256" s="42" t="s">
        <v>1434</v>
      </c>
    </row>
    <row r="257" spans="7:85" x14ac:dyDescent="0.3">
      <c r="G257" s="12" t="s">
        <v>16</v>
      </c>
      <c r="H257" s="12" t="s">
        <v>339</v>
      </c>
      <c r="I257" s="12" t="s">
        <v>907</v>
      </c>
      <c r="J257" s="129" t="str">
        <f t="shared" si="22"/>
        <v>Natural w/Inlay</v>
      </c>
      <c r="K257" s="129"/>
      <c r="L257" s="129"/>
      <c r="AO257" s="14" t="s">
        <v>561</v>
      </c>
      <c r="AP257" s="12" t="s">
        <v>77</v>
      </c>
      <c r="AQ257" s="14" t="s">
        <v>22</v>
      </c>
      <c r="AR257" s="12" t="s">
        <v>948</v>
      </c>
      <c r="AS257" s="129" t="s">
        <v>1340</v>
      </c>
      <c r="BN257" s="154" t="str">
        <f t="shared" si="19"/>
        <v>LT</v>
      </c>
      <c r="BO257" s="12" t="s">
        <v>140</v>
      </c>
      <c r="BP257" s="16" t="s">
        <v>1407</v>
      </c>
      <c r="BQ257" s="244" t="str">
        <f t="shared" si="20"/>
        <v>{[9_10T]:[G2CW]}</v>
      </c>
      <c r="BR257" s="42" t="str">
        <f t="shared" si="21"/>
        <v>Evans G2 Coated Batter</v>
      </c>
      <c r="CC257" s="12" t="s">
        <v>56</v>
      </c>
      <c r="CD257" s="12" t="s">
        <v>128</v>
      </c>
      <c r="CE257" s="77" t="s">
        <v>1405</v>
      </c>
      <c r="CF257" s="244" t="s">
        <v>1607</v>
      </c>
      <c r="CG257" s="42" t="s">
        <v>1434</v>
      </c>
    </row>
    <row r="258" spans="7:85" x14ac:dyDescent="0.3">
      <c r="G258" s="12" t="s">
        <v>16</v>
      </c>
      <c r="H258" s="12" t="s">
        <v>339</v>
      </c>
      <c r="I258" s="12" t="s">
        <v>909</v>
      </c>
      <c r="J258" s="129" t="str">
        <f t="shared" si="22"/>
        <v>Natural w/Accent</v>
      </c>
      <c r="K258" s="129"/>
      <c r="L258" s="129"/>
      <c r="AO258" s="14" t="s">
        <v>561</v>
      </c>
      <c r="AP258" s="12" t="s">
        <v>77</v>
      </c>
      <c r="AQ258" s="14" t="s">
        <v>22</v>
      </c>
      <c r="AR258" s="12" t="s">
        <v>946</v>
      </c>
      <c r="AS258" s="129" t="s">
        <v>1339</v>
      </c>
      <c r="BN258" s="154" t="str">
        <f t="shared" si="19"/>
        <v>LT</v>
      </c>
      <c r="BO258" s="12" t="s">
        <v>144</v>
      </c>
      <c r="BP258" s="16" t="s">
        <v>1407</v>
      </c>
      <c r="BQ258" s="244" t="str">
        <f t="shared" si="20"/>
        <v>{[10_12T]:[G2CW]}</v>
      </c>
      <c r="BR258" s="42" t="str">
        <f t="shared" si="21"/>
        <v>Evans G2 Coated Batter</v>
      </c>
      <c r="CC258" s="12" t="s">
        <v>56</v>
      </c>
      <c r="CD258" s="12" t="s">
        <v>129</v>
      </c>
      <c r="CE258" s="77" t="s">
        <v>1405</v>
      </c>
      <c r="CF258" s="244" t="s">
        <v>1608</v>
      </c>
      <c r="CG258" s="42" t="s">
        <v>1434</v>
      </c>
    </row>
    <row r="259" spans="7:85" x14ac:dyDescent="0.3">
      <c r="G259" s="12" t="s">
        <v>16</v>
      </c>
      <c r="H259" s="12" t="s">
        <v>339</v>
      </c>
      <c r="I259" s="12" t="s">
        <v>313</v>
      </c>
      <c r="J259" s="129" t="str">
        <f t="shared" si="22"/>
        <v>Sable Black</v>
      </c>
      <c r="K259" s="129"/>
      <c r="L259" s="129"/>
      <c r="AO259" s="14" t="s">
        <v>561</v>
      </c>
      <c r="AP259" s="12" t="s">
        <v>77</v>
      </c>
      <c r="AQ259" s="14" t="s">
        <v>22</v>
      </c>
      <c r="AR259" s="12" t="s">
        <v>950</v>
      </c>
      <c r="AS259" s="129" t="s">
        <v>1341</v>
      </c>
      <c r="BN259" s="154" t="str">
        <f t="shared" si="19"/>
        <v>LT</v>
      </c>
      <c r="BO259" s="12" t="s">
        <v>146</v>
      </c>
      <c r="BP259" s="16" t="s">
        <v>1407</v>
      </c>
      <c r="BQ259" s="244" t="str">
        <f t="shared" si="20"/>
        <v>{[11_12T]:[G2CW]}</v>
      </c>
      <c r="BR259" s="42" t="str">
        <f t="shared" si="21"/>
        <v>Evans G2 Coated Batter</v>
      </c>
      <c r="CC259" s="12" t="s">
        <v>56</v>
      </c>
      <c r="CD259" s="12" t="s">
        <v>131</v>
      </c>
      <c r="CE259" s="77" t="s">
        <v>1405</v>
      </c>
      <c r="CF259" s="244" t="s">
        <v>1609</v>
      </c>
      <c r="CG259" s="42" t="s">
        <v>1434</v>
      </c>
    </row>
    <row r="260" spans="7:85" x14ac:dyDescent="0.3">
      <c r="G260" s="12" t="s">
        <v>17</v>
      </c>
      <c r="H260" s="12" t="s">
        <v>339</v>
      </c>
      <c r="I260" s="12" t="s">
        <v>902</v>
      </c>
      <c r="J260" s="129" t="str">
        <f t="shared" si="22"/>
        <v>Satin Sable w/Inlay</v>
      </c>
      <c r="K260" s="129"/>
      <c r="L260" s="129"/>
      <c r="AO260" s="14" t="s">
        <v>561</v>
      </c>
      <c r="AP260" s="12" t="s">
        <v>77</v>
      </c>
      <c r="AQ260" s="14" t="s">
        <v>22</v>
      </c>
      <c r="AR260" s="12" t="s">
        <v>954</v>
      </c>
      <c r="AS260" s="129" t="s">
        <v>1343</v>
      </c>
      <c r="BN260" s="154" t="str">
        <f t="shared" ref="BN260:BN323" si="23">CONCATENATE("L",RIGHT(BO260,1))</f>
        <v>LT</v>
      </c>
      <c r="BO260" s="12" t="s">
        <v>141</v>
      </c>
      <c r="BP260" s="16" t="s">
        <v>1407</v>
      </c>
      <c r="BQ260" s="244" t="str">
        <f t="shared" ref="BQ260:BQ323" si="24">CONCATENATE("{[",BO260,"]:[",BP260,"]}")</f>
        <v>{[8_12T]:[G2CW]}</v>
      </c>
      <c r="BR260" s="42" t="str">
        <f t="shared" si="21"/>
        <v>Evans G2 Coated Batter</v>
      </c>
      <c r="CC260" s="9" t="s">
        <v>70</v>
      </c>
      <c r="CD260" s="12" t="s">
        <v>206</v>
      </c>
      <c r="CE260" s="77" t="s">
        <v>1407</v>
      </c>
      <c r="CF260" s="244" t="s">
        <v>1610</v>
      </c>
      <c r="CG260" s="42" t="s">
        <v>1435</v>
      </c>
    </row>
    <row r="261" spans="7:85" x14ac:dyDescent="0.3">
      <c r="G261" s="12" t="s">
        <v>17</v>
      </c>
      <c r="H261" s="12" t="s">
        <v>339</v>
      </c>
      <c r="I261" s="12" t="s">
        <v>904</v>
      </c>
      <c r="J261" s="129" t="str">
        <f t="shared" si="22"/>
        <v>Satin Natural w/Inlay</v>
      </c>
      <c r="K261" s="129"/>
      <c r="L261" s="129"/>
      <c r="AO261" s="14" t="s">
        <v>561</v>
      </c>
      <c r="AP261" s="12" t="s">
        <v>90</v>
      </c>
      <c r="AQ261" s="14" t="s">
        <v>518</v>
      </c>
      <c r="AR261" s="12" t="s">
        <v>952</v>
      </c>
      <c r="AS261" s="129" t="s">
        <v>1342</v>
      </c>
      <c r="BN261" s="154" t="str">
        <f t="shared" si="23"/>
        <v>LT</v>
      </c>
      <c r="BO261" s="12" t="s">
        <v>143</v>
      </c>
      <c r="BP261" s="16" t="s">
        <v>1407</v>
      </c>
      <c r="BQ261" s="244" t="str">
        <f t="shared" si="24"/>
        <v>{[9_12T]:[G2CW]}</v>
      </c>
      <c r="BR261" s="42" t="str">
        <f t="shared" ref="BR261:BR324" si="25">VLOOKUP(BP261,$BJ$4:$BK$13,2,FALSE)</f>
        <v>Evans G2 Coated Batter</v>
      </c>
      <c r="CC261" s="9" t="s">
        <v>70</v>
      </c>
      <c r="CD261" s="12" t="s">
        <v>132</v>
      </c>
      <c r="CE261" s="77" t="s">
        <v>1407</v>
      </c>
      <c r="CF261" s="244" t="s">
        <v>1611</v>
      </c>
      <c r="CG261" s="42" t="s">
        <v>1435</v>
      </c>
    </row>
    <row r="262" spans="7:85" x14ac:dyDescent="0.3">
      <c r="G262" s="12" t="s">
        <v>17</v>
      </c>
      <c r="H262" s="12" t="s">
        <v>339</v>
      </c>
      <c r="I262" s="12" t="s">
        <v>26</v>
      </c>
      <c r="J262" s="129" t="str">
        <f t="shared" si="22"/>
        <v>Satin Sable</v>
      </c>
      <c r="K262" s="129"/>
      <c r="L262" s="129"/>
      <c r="AO262" s="14" t="s">
        <v>561</v>
      </c>
      <c r="AP262" s="12" t="s">
        <v>90</v>
      </c>
      <c r="AQ262" s="14" t="s">
        <v>518</v>
      </c>
      <c r="AR262" s="12" t="s">
        <v>948</v>
      </c>
      <c r="AS262" s="129" t="s">
        <v>1340</v>
      </c>
      <c r="BN262" s="154" t="str">
        <f t="shared" si="23"/>
        <v>LT</v>
      </c>
      <c r="BO262" s="12" t="s">
        <v>148</v>
      </c>
      <c r="BP262" s="16" t="s">
        <v>1407</v>
      </c>
      <c r="BQ262" s="244" t="str">
        <f t="shared" si="24"/>
        <v>{[10_13T]:[G2CW]}</v>
      </c>
      <c r="BR262" s="42" t="str">
        <f t="shared" si="25"/>
        <v>Evans G2 Coated Batter</v>
      </c>
      <c r="CC262" s="9" t="s">
        <v>70</v>
      </c>
      <c r="CD262" s="12" t="s">
        <v>133</v>
      </c>
      <c r="CE262" s="77" t="s">
        <v>1407</v>
      </c>
      <c r="CF262" s="244" t="s">
        <v>1612</v>
      </c>
      <c r="CG262" s="42" t="s">
        <v>1435</v>
      </c>
    </row>
    <row r="263" spans="7:85" x14ac:dyDescent="0.3">
      <c r="G263" s="12" t="s">
        <v>17</v>
      </c>
      <c r="H263" s="12" t="s">
        <v>339</v>
      </c>
      <c r="I263" s="12" t="s">
        <v>914</v>
      </c>
      <c r="J263" s="129" t="str">
        <f t="shared" si="22"/>
        <v>Satin Sable w/Accent</v>
      </c>
      <c r="K263" s="129"/>
      <c r="L263" s="129"/>
      <c r="AO263" s="14" t="s">
        <v>561</v>
      </c>
      <c r="AP263" s="12" t="s">
        <v>90</v>
      </c>
      <c r="AQ263" s="14" t="s">
        <v>518</v>
      </c>
      <c r="AR263" s="12" t="s">
        <v>946</v>
      </c>
      <c r="AS263" s="129" t="s">
        <v>1339</v>
      </c>
      <c r="BN263" s="154" t="str">
        <f t="shared" si="23"/>
        <v>LT</v>
      </c>
      <c r="BO263" s="12" t="s">
        <v>149</v>
      </c>
      <c r="BP263" s="16" t="s">
        <v>1407</v>
      </c>
      <c r="BQ263" s="244" t="str">
        <f t="shared" si="24"/>
        <v>{[11_13T]:[G2CW]}</v>
      </c>
      <c r="BR263" s="42" t="str">
        <f t="shared" si="25"/>
        <v>Evans G2 Coated Batter</v>
      </c>
      <c r="CC263" s="9" t="s">
        <v>70</v>
      </c>
      <c r="CD263" s="12" t="s">
        <v>207</v>
      </c>
      <c r="CE263" s="77" t="s">
        <v>1407</v>
      </c>
      <c r="CF263" s="244" t="s">
        <v>1613</v>
      </c>
      <c r="CG263" s="42" t="s">
        <v>1435</v>
      </c>
    </row>
    <row r="264" spans="7:85" x14ac:dyDescent="0.3">
      <c r="G264" s="12" t="s">
        <v>17</v>
      </c>
      <c r="H264" s="12" t="s">
        <v>339</v>
      </c>
      <c r="I264" s="12" t="s">
        <v>321</v>
      </c>
      <c r="J264" s="129" t="str">
        <f t="shared" si="22"/>
        <v>Satin Natural</v>
      </c>
      <c r="K264" s="129"/>
      <c r="L264" s="129"/>
      <c r="AO264" s="14" t="s">
        <v>561</v>
      </c>
      <c r="AP264" s="12" t="s">
        <v>90</v>
      </c>
      <c r="AQ264" s="14" t="s">
        <v>518</v>
      </c>
      <c r="AR264" s="12" t="s">
        <v>950</v>
      </c>
      <c r="AS264" s="129" t="s">
        <v>1341</v>
      </c>
      <c r="BN264" s="154" t="str">
        <f t="shared" si="23"/>
        <v>LT</v>
      </c>
      <c r="BO264" s="12" t="s">
        <v>150</v>
      </c>
      <c r="BP264" s="16" t="s">
        <v>1407</v>
      </c>
      <c r="BQ264" s="244" t="str">
        <f t="shared" si="24"/>
        <v>{[12_13T]:[G2CW]}</v>
      </c>
      <c r="BR264" s="42" t="str">
        <f t="shared" si="25"/>
        <v>Evans G2 Coated Batter</v>
      </c>
      <c r="CC264" s="9" t="s">
        <v>70</v>
      </c>
      <c r="CD264" s="12" t="s">
        <v>134</v>
      </c>
      <c r="CE264" s="77" t="s">
        <v>1407</v>
      </c>
      <c r="CF264" s="244" t="s">
        <v>1614</v>
      </c>
      <c r="CG264" s="42" t="s">
        <v>1435</v>
      </c>
    </row>
    <row r="265" spans="7:85" x14ac:dyDescent="0.3">
      <c r="G265" s="12" t="s">
        <v>17</v>
      </c>
      <c r="H265" s="12" t="s">
        <v>339</v>
      </c>
      <c r="I265" s="12" t="s">
        <v>912</v>
      </c>
      <c r="J265" s="129" t="str">
        <f t="shared" si="22"/>
        <v>Satin Natural w/Accent</v>
      </c>
      <c r="K265" s="129"/>
      <c r="L265" s="129"/>
      <c r="AO265" s="14" t="s">
        <v>561</v>
      </c>
      <c r="AP265" s="12" t="s">
        <v>90</v>
      </c>
      <c r="AQ265" s="14" t="s">
        <v>518</v>
      </c>
      <c r="AR265" s="12" t="s">
        <v>954</v>
      </c>
      <c r="AS265" s="129" t="s">
        <v>1343</v>
      </c>
      <c r="BN265" s="154" t="str">
        <f t="shared" si="23"/>
        <v>LT</v>
      </c>
      <c r="BO265" s="12" t="s">
        <v>147</v>
      </c>
      <c r="BP265" s="16" t="s">
        <v>1407</v>
      </c>
      <c r="BQ265" s="244" t="str">
        <f t="shared" si="24"/>
        <v>{[9_13T]:[G2CW]}</v>
      </c>
      <c r="BR265" s="42" t="str">
        <f t="shared" si="25"/>
        <v>Evans G2 Coated Batter</v>
      </c>
      <c r="CC265" s="9" t="s">
        <v>70</v>
      </c>
      <c r="CD265" s="12" t="s">
        <v>136</v>
      </c>
      <c r="CE265" s="77" t="s">
        <v>1407</v>
      </c>
      <c r="CF265" s="244" t="s">
        <v>1615</v>
      </c>
      <c r="CG265" s="42" t="s">
        <v>1435</v>
      </c>
    </row>
    <row r="266" spans="7:85" x14ac:dyDescent="0.3">
      <c r="G266" s="12" t="s">
        <v>17</v>
      </c>
      <c r="H266" s="12" t="s">
        <v>339</v>
      </c>
      <c r="I266" s="12" t="s">
        <v>309</v>
      </c>
      <c r="J266" s="129" t="str">
        <f t="shared" si="22"/>
        <v>Natural Hoop</v>
      </c>
      <c r="K266" s="129"/>
      <c r="L266" s="129"/>
      <c r="AO266" s="14" t="s">
        <v>561</v>
      </c>
      <c r="AP266" s="12" t="s">
        <v>90</v>
      </c>
      <c r="AQ266" s="14" t="s">
        <v>16</v>
      </c>
      <c r="AR266" s="12" t="s">
        <v>948</v>
      </c>
      <c r="AS266" s="129" t="s">
        <v>1340</v>
      </c>
      <c r="BN266" s="154" t="str">
        <f t="shared" si="23"/>
        <v>LT</v>
      </c>
      <c r="BO266" s="12" t="s">
        <v>157</v>
      </c>
      <c r="BP266" s="16" t="s">
        <v>1407</v>
      </c>
      <c r="BQ266" s="244" t="str">
        <f t="shared" si="24"/>
        <v>{[10_14T]:[G2CW]}</v>
      </c>
      <c r="BR266" s="42" t="str">
        <f t="shared" si="25"/>
        <v>Evans G2 Coated Batter</v>
      </c>
      <c r="CC266" s="9" t="s">
        <v>70</v>
      </c>
      <c r="CD266" s="12" t="s">
        <v>137</v>
      </c>
      <c r="CE266" s="77" t="s">
        <v>1407</v>
      </c>
      <c r="CF266" s="244" t="s">
        <v>1616</v>
      </c>
      <c r="CG266" s="42" t="s">
        <v>1435</v>
      </c>
    </row>
    <row r="267" spans="7:85" x14ac:dyDescent="0.3">
      <c r="G267" s="12" t="s">
        <v>17</v>
      </c>
      <c r="H267" s="12" t="s">
        <v>339</v>
      </c>
      <c r="I267" s="12" t="s">
        <v>907</v>
      </c>
      <c r="J267" s="129" t="str">
        <f t="shared" si="22"/>
        <v>Natural w/Inlay</v>
      </c>
      <c r="K267" s="129"/>
      <c r="L267" s="129"/>
      <c r="AO267" s="14" t="s">
        <v>561</v>
      </c>
      <c r="AP267" s="12" t="s">
        <v>90</v>
      </c>
      <c r="AQ267" s="14" t="s">
        <v>16</v>
      </c>
      <c r="AR267" s="12" t="s">
        <v>946</v>
      </c>
      <c r="AS267" s="129" t="s">
        <v>1339</v>
      </c>
      <c r="BN267" s="154" t="str">
        <f t="shared" si="23"/>
        <v>LT</v>
      </c>
      <c r="BO267" s="12" t="s">
        <v>163</v>
      </c>
      <c r="BP267" s="16" t="s">
        <v>1407</v>
      </c>
      <c r="BQ267" s="244" t="str">
        <f t="shared" si="24"/>
        <v>{[11_14T]:[G2CW]}</v>
      </c>
      <c r="BR267" s="42" t="str">
        <f t="shared" si="25"/>
        <v>Evans G2 Coated Batter</v>
      </c>
      <c r="CC267" s="9" t="s">
        <v>70</v>
      </c>
      <c r="CD267" s="12" t="s">
        <v>138</v>
      </c>
      <c r="CE267" s="77" t="s">
        <v>1407</v>
      </c>
      <c r="CF267" s="244" t="s">
        <v>1617</v>
      </c>
      <c r="CG267" s="42" t="s">
        <v>1435</v>
      </c>
    </row>
    <row r="268" spans="7:85" x14ac:dyDescent="0.3">
      <c r="G268" s="12" t="s">
        <v>17</v>
      </c>
      <c r="H268" s="12" t="s">
        <v>339</v>
      </c>
      <c r="I268" s="12" t="s">
        <v>909</v>
      </c>
      <c r="J268" s="129" t="str">
        <f t="shared" si="22"/>
        <v>Natural w/Accent</v>
      </c>
      <c r="K268" s="129"/>
      <c r="L268" s="129"/>
      <c r="AO268" s="14" t="s">
        <v>561</v>
      </c>
      <c r="AP268" s="12" t="s">
        <v>90</v>
      </c>
      <c r="AQ268" s="14" t="s">
        <v>16</v>
      </c>
      <c r="AR268" s="12" t="s">
        <v>950</v>
      </c>
      <c r="AS268" s="129" t="s">
        <v>1341</v>
      </c>
      <c r="BN268" s="154" t="str">
        <f t="shared" si="23"/>
        <v>LF</v>
      </c>
      <c r="BO268" s="12" t="s">
        <v>110</v>
      </c>
      <c r="BP268" s="16" t="s">
        <v>1407</v>
      </c>
      <c r="BQ268" s="244" t="str">
        <f t="shared" si="24"/>
        <v>{[12_14F]:[G2CW]}</v>
      </c>
      <c r="BR268" s="42" t="str">
        <f t="shared" si="25"/>
        <v>Evans G2 Coated Batter</v>
      </c>
      <c r="CC268" s="9" t="s">
        <v>70</v>
      </c>
      <c r="CD268" s="12" t="s">
        <v>139</v>
      </c>
      <c r="CE268" s="77" t="s">
        <v>1407</v>
      </c>
      <c r="CF268" s="244" t="s">
        <v>1618</v>
      </c>
      <c r="CG268" s="42" t="s">
        <v>1435</v>
      </c>
    </row>
    <row r="269" spans="7:85" x14ac:dyDescent="0.3">
      <c r="G269" s="12" t="s">
        <v>17</v>
      </c>
      <c r="H269" s="12" t="s">
        <v>339</v>
      </c>
      <c r="I269" s="12" t="s">
        <v>313</v>
      </c>
      <c r="J269" s="129" t="str">
        <f t="shared" si="22"/>
        <v>Sable Black</v>
      </c>
      <c r="K269" s="129"/>
      <c r="L269" s="129"/>
      <c r="AO269" s="14" t="s">
        <v>561</v>
      </c>
      <c r="AP269" s="12" t="s">
        <v>90</v>
      </c>
      <c r="AQ269" s="14" t="s">
        <v>16</v>
      </c>
      <c r="AR269" s="12" t="s">
        <v>954</v>
      </c>
      <c r="AS269" s="129" t="s">
        <v>1343</v>
      </c>
      <c r="BN269" s="154" t="str">
        <f t="shared" si="23"/>
        <v>LT</v>
      </c>
      <c r="BO269" s="12" t="s">
        <v>169</v>
      </c>
      <c r="BP269" s="16" t="s">
        <v>1407</v>
      </c>
      <c r="BQ269" s="244" t="str">
        <f t="shared" si="24"/>
        <v>{[12_14T]:[G2CW]}</v>
      </c>
      <c r="BR269" s="42" t="str">
        <f t="shared" si="25"/>
        <v>Evans G2 Coated Batter</v>
      </c>
      <c r="CC269" s="9" t="s">
        <v>70</v>
      </c>
      <c r="CD269" s="12" t="s">
        <v>140</v>
      </c>
      <c r="CE269" s="77" t="s">
        <v>1407</v>
      </c>
      <c r="CF269" s="244" t="s">
        <v>1619</v>
      </c>
      <c r="CG269" s="42" t="s">
        <v>1435</v>
      </c>
    </row>
    <row r="270" spans="7:85" x14ac:dyDescent="0.3">
      <c r="G270" s="12" t="s">
        <v>19</v>
      </c>
      <c r="H270" s="12" t="s">
        <v>339</v>
      </c>
      <c r="I270" s="12" t="s">
        <v>902</v>
      </c>
      <c r="J270" s="129" t="str">
        <f t="shared" si="22"/>
        <v>Satin Sable w/Inlay</v>
      </c>
      <c r="K270" s="129"/>
      <c r="L270" s="129"/>
      <c r="AO270" s="14" t="s">
        <v>561</v>
      </c>
      <c r="AP270" s="12" t="s">
        <v>90</v>
      </c>
      <c r="AQ270" s="14" t="s">
        <v>22</v>
      </c>
      <c r="AR270" s="12" t="s">
        <v>952</v>
      </c>
      <c r="AS270" s="129" t="s">
        <v>1342</v>
      </c>
      <c r="BN270" s="154" t="str">
        <f t="shared" si="23"/>
        <v>LF</v>
      </c>
      <c r="BO270" s="12" t="s">
        <v>113</v>
      </c>
      <c r="BP270" s="16" t="s">
        <v>1407</v>
      </c>
      <c r="BQ270" s="244" t="str">
        <f t="shared" si="24"/>
        <v>{[13_14F]:[G2CW]}</v>
      </c>
      <c r="BR270" s="42" t="str">
        <f t="shared" si="25"/>
        <v>Evans G2 Coated Batter</v>
      </c>
      <c r="CC270" s="9" t="s">
        <v>70</v>
      </c>
      <c r="CD270" s="12" t="s">
        <v>141</v>
      </c>
      <c r="CE270" s="77" t="s">
        <v>1407</v>
      </c>
      <c r="CF270" s="244" t="s">
        <v>1620</v>
      </c>
      <c r="CG270" s="42" t="s">
        <v>1435</v>
      </c>
    </row>
    <row r="271" spans="7:85" x14ac:dyDescent="0.3">
      <c r="G271" s="12" t="s">
        <v>19</v>
      </c>
      <c r="H271" s="12" t="s">
        <v>339</v>
      </c>
      <c r="I271" s="12" t="s">
        <v>904</v>
      </c>
      <c r="J271" s="129" t="str">
        <f t="shared" si="22"/>
        <v>Satin Natural w/Inlay</v>
      </c>
      <c r="K271" s="129"/>
      <c r="L271" s="129"/>
      <c r="AO271" s="14" t="s">
        <v>561</v>
      </c>
      <c r="AP271" s="12" t="s">
        <v>90</v>
      </c>
      <c r="AQ271" s="14" t="s">
        <v>22</v>
      </c>
      <c r="AR271" s="12" t="s">
        <v>948</v>
      </c>
      <c r="AS271" s="129" t="s">
        <v>1340</v>
      </c>
      <c r="BN271" s="154" t="str">
        <f t="shared" si="23"/>
        <v>LT</v>
      </c>
      <c r="BO271" s="12" t="s">
        <v>175</v>
      </c>
      <c r="BP271" s="16" t="s">
        <v>1407</v>
      </c>
      <c r="BQ271" s="244" t="str">
        <f t="shared" si="24"/>
        <v>{[13_14T]:[G2CW]}</v>
      </c>
      <c r="BR271" s="42" t="str">
        <f t="shared" si="25"/>
        <v>Evans G2 Coated Batter</v>
      </c>
      <c r="CC271" s="9" t="s">
        <v>70</v>
      </c>
      <c r="CD271" s="12" t="s">
        <v>143</v>
      </c>
      <c r="CE271" s="77" t="s">
        <v>1407</v>
      </c>
      <c r="CF271" s="244" t="s">
        <v>1621</v>
      </c>
      <c r="CG271" s="42" t="s">
        <v>1435</v>
      </c>
    </row>
    <row r="272" spans="7:85" x14ac:dyDescent="0.3">
      <c r="G272" s="12" t="s">
        <v>19</v>
      </c>
      <c r="H272" s="12" t="s">
        <v>339</v>
      </c>
      <c r="I272" s="12" t="s">
        <v>26</v>
      </c>
      <c r="J272" s="129" t="str">
        <f t="shared" si="22"/>
        <v>Satin Sable</v>
      </c>
      <c r="K272" s="129"/>
      <c r="L272" s="129"/>
      <c r="AO272" s="14" t="s">
        <v>561</v>
      </c>
      <c r="AP272" s="12" t="s">
        <v>90</v>
      </c>
      <c r="AQ272" s="14" t="s">
        <v>22</v>
      </c>
      <c r="AR272" s="12" t="s">
        <v>946</v>
      </c>
      <c r="AS272" s="129" t="s">
        <v>1339</v>
      </c>
      <c r="BN272" s="154" t="str">
        <f t="shared" si="23"/>
        <v>LF</v>
      </c>
      <c r="BO272" s="12" t="s">
        <v>116</v>
      </c>
      <c r="BP272" s="16" t="s">
        <v>1407</v>
      </c>
      <c r="BQ272" s="244" t="str">
        <f t="shared" si="24"/>
        <v>{[14_14F]:[G2CW]}</v>
      </c>
      <c r="BR272" s="42" t="str">
        <f t="shared" si="25"/>
        <v>Evans G2 Coated Batter</v>
      </c>
      <c r="CC272" s="9" t="s">
        <v>70</v>
      </c>
      <c r="CD272" s="12" t="s">
        <v>144</v>
      </c>
      <c r="CE272" s="77" t="s">
        <v>1407</v>
      </c>
      <c r="CF272" s="244" t="s">
        <v>1622</v>
      </c>
      <c r="CG272" s="42" t="s">
        <v>1435</v>
      </c>
    </row>
    <row r="273" spans="7:85" x14ac:dyDescent="0.3">
      <c r="G273" s="12" t="s">
        <v>19</v>
      </c>
      <c r="H273" s="12" t="s">
        <v>339</v>
      </c>
      <c r="I273" s="12" t="s">
        <v>914</v>
      </c>
      <c r="J273" s="129" t="str">
        <f t="shared" si="22"/>
        <v>Satin Sable w/Accent</v>
      </c>
      <c r="K273" s="129"/>
      <c r="L273" s="129"/>
      <c r="AO273" s="14" t="s">
        <v>561</v>
      </c>
      <c r="AP273" s="12" t="s">
        <v>90</v>
      </c>
      <c r="AQ273" s="14" t="s">
        <v>22</v>
      </c>
      <c r="AR273" s="12" t="s">
        <v>950</v>
      </c>
      <c r="AS273" s="129" t="s">
        <v>1341</v>
      </c>
      <c r="BN273" s="154" t="str">
        <f t="shared" si="23"/>
        <v>LT</v>
      </c>
      <c r="BO273" s="12" t="s">
        <v>176</v>
      </c>
      <c r="BP273" s="16" t="s">
        <v>1407</v>
      </c>
      <c r="BQ273" s="244" t="str">
        <f t="shared" si="24"/>
        <v>{[14_14T]:[G2CW]}</v>
      </c>
      <c r="BR273" s="42" t="str">
        <f t="shared" si="25"/>
        <v>Evans G2 Coated Batter</v>
      </c>
      <c r="CC273" s="9" t="s">
        <v>70</v>
      </c>
      <c r="CD273" s="12" t="s">
        <v>146</v>
      </c>
      <c r="CE273" s="77" t="s">
        <v>1407</v>
      </c>
      <c r="CF273" s="244" t="s">
        <v>1623</v>
      </c>
      <c r="CG273" s="42" t="s">
        <v>1435</v>
      </c>
    </row>
    <row r="274" spans="7:85" x14ac:dyDescent="0.3">
      <c r="G274" s="12" t="s">
        <v>19</v>
      </c>
      <c r="H274" s="12" t="s">
        <v>339</v>
      </c>
      <c r="I274" s="12" t="s">
        <v>321</v>
      </c>
      <c r="J274" s="129" t="str">
        <f t="shared" si="22"/>
        <v>Satin Natural</v>
      </c>
      <c r="K274" s="129"/>
      <c r="L274" s="129"/>
      <c r="AO274" s="14" t="s">
        <v>561</v>
      </c>
      <c r="AP274" s="12" t="s">
        <v>90</v>
      </c>
      <c r="AQ274" s="14" t="s">
        <v>22</v>
      </c>
      <c r="AR274" s="12" t="s">
        <v>954</v>
      </c>
      <c r="AS274" s="129" t="s">
        <v>1343</v>
      </c>
      <c r="BN274" s="154" t="str">
        <f t="shared" si="23"/>
        <v>LT</v>
      </c>
      <c r="BO274" s="12" t="s">
        <v>151</v>
      </c>
      <c r="BP274" s="16" t="s">
        <v>1407</v>
      </c>
      <c r="BQ274" s="244" t="str">
        <f t="shared" si="24"/>
        <v>{[9_14T]:[G2CW]}</v>
      </c>
      <c r="BR274" s="42" t="str">
        <f t="shared" si="25"/>
        <v>Evans G2 Coated Batter</v>
      </c>
      <c r="CC274" s="9" t="s">
        <v>70</v>
      </c>
      <c r="CD274" s="12" t="s">
        <v>147</v>
      </c>
      <c r="CE274" s="77" t="s">
        <v>1407</v>
      </c>
      <c r="CF274" s="244" t="s">
        <v>1624</v>
      </c>
      <c r="CG274" s="42" t="s">
        <v>1435</v>
      </c>
    </row>
    <row r="275" spans="7:85" x14ac:dyDescent="0.3">
      <c r="G275" s="12" t="s">
        <v>19</v>
      </c>
      <c r="H275" s="12" t="s">
        <v>339</v>
      </c>
      <c r="I275" s="12" t="s">
        <v>912</v>
      </c>
      <c r="J275" s="129" t="str">
        <f t="shared" si="22"/>
        <v>Satin Natural w/Accent</v>
      </c>
      <c r="K275" s="129"/>
      <c r="L275" s="129"/>
      <c r="AO275" s="14" t="s">
        <v>561</v>
      </c>
      <c r="AP275" s="12" t="s">
        <v>68</v>
      </c>
      <c r="AQ275" s="14" t="s">
        <v>518</v>
      </c>
      <c r="AR275" s="12" t="s">
        <v>952</v>
      </c>
      <c r="AS275" s="129" t="s">
        <v>1342</v>
      </c>
      <c r="BN275" s="154" t="str">
        <f t="shared" si="23"/>
        <v>LT</v>
      </c>
      <c r="BO275" s="12" t="s">
        <v>178</v>
      </c>
      <c r="BP275" s="16" t="s">
        <v>1407</v>
      </c>
      <c r="BQ275" s="244" t="str">
        <f t="shared" si="24"/>
        <v>{[12_15T]:[G2CW]}</v>
      </c>
      <c r="BR275" s="42" t="str">
        <f t="shared" si="25"/>
        <v>Evans G2 Coated Batter</v>
      </c>
      <c r="CC275" s="9" t="s">
        <v>70</v>
      </c>
      <c r="CD275" s="12" t="s">
        <v>148</v>
      </c>
      <c r="CE275" s="77" t="s">
        <v>1407</v>
      </c>
      <c r="CF275" s="244" t="s">
        <v>1625</v>
      </c>
      <c r="CG275" s="42" t="s">
        <v>1435</v>
      </c>
    </row>
    <row r="276" spans="7:85" x14ac:dyDescent="0.3">
      <c r="G276" s="12" t="s">
        <v>19</v>
      </c>
      <c r="H276" s="12" t="s">
        <v>339</v>
      </c>
      <c r="I276" s="12" t="s">
        <v>309</v>
      </c>
      <c r="J276" s="129" t="str">
        <f t="shared" ref="J276:J339" si="26">INDEX($C$3:$C$15,MATCH(I276,$B$3:$B$15,0))</f>
        <v>Natural Hoop</v>
      </c>
      <c r="K276" s="129"/>
      <c r="L276" s="129"/>
      <c r="AO276" s="14" t="s">
        <v>561</v>
      </c>
      <c r="AP276" s="12" t="s">
        <v>68</v>
      </c>
      <c r="AQ276" s="14" t="s">
        <v>518</v>
      </c>
      <c r="AR276" s="12" t="s">
        <v>946</v>
      </c>
      <c r="AS276" s="129" t="s">
        <v>1339</v>
      </c>
      <c r="BN276" s="154" t="str">
        <f t="shared" si="23"/>
        <v>LF</v>
      </c>
      <c r="BO276" s="12" t="s">
        <v>118</v>
      </c>
      <c r="BP276" s="16" t="s">
        <v>1407</v>
      </c>
      <c r="BQ276" s="244" t="str">
        <f t="shared" si="24"/>
        <v>{[13_15F]:[G2CW]}</v>
      </c>
      <c r="BR276" s="42" t="str">
        <f t="shared" si="25"/>
        <v>Evans G2 Coated Batter</v>
      </c>
      <c r="CC276" s="9" t="s">
        <v>70</v>
      </c>
      <c r="CD276" s="12" t="s">
        <v>149</v>
      </c>
      <c r="CE276" s="77" t="s">
        <v>1407</v>
      </c>
      <c r="CF276" s="244" t="s">
        <v>1626</v>
      </c>
      <c r="CG276" s="42" t="s">
        <v>1435</v>
      </c>
    </row>
    <row r="277" spans="7:85" x14ac:dyDescent="0.3">
      <c r="G277" s="12" t="s">
        <v>19</v>
      </c>
      <c r="H277" s="12" t="s">
        <v>339</v>
      </c>
      <c r="I277" s="12" t="s">
        <v>313</v>
      </c>
      <c r="J277" s="129" t="str">
        <f t="shared" si="26"/>
        <v>Sable Black</v>
      </c>
      <c r="K277" s="129"/>
      <c r="L277" s="129"/>
      <c r="AO277" s="14" t="s">
        <v>561</v>
      </c>
      <c r="AP277" s="12" t="s">
        <v>68</v>
      </c>
      <c r="AQ277" s="14" t="s">
        <v>518</v>
      </c>
      <c r="AR277" s="12" t="s">
        <v>950</v>
      </c>
      <c r="AS277" s="129" t="s">
        <v>1341</v>
      </c>
      <c r="BN277" s="154" t="str">
        <f t="shared" si="23"/>
        <v>LT</v>
      </c>
      <c r="BO277" s="12" t="s">
        <v>179</v>
      </c>
      <c r="BP277" s="16" t="s">
        <v>1407</v>
      </c>
      <c r="BQ277" s="244" t="str">
        <f t="shared" si="24"/>
        <v>{[13_15T]:[G2CW]}</v>
      </c>
      <c r="BR277" s="42" t="str">
        <f t="shared" si="25"/>
        <v>Evans G2 Coated Batter</v>
      </c>
      <c r="CC277" s="9" t="s">
        <v>70</v>
      </c>
      <c r="CD277" s="12" t="s">
        <v>150</v>
      </c>
      <c r="CE277" s="77" t="s">
        <v>1407</v>
      </c>
      <c r="CF277" s="244" t="s">
        <v>1627</v>
      </c>
      <c r="CG277" s="42" t="s">
        <v>1435</v>
      </c>
    </row>
    <row r="278" spans="7:85" x14ac:dyDescent="0.3">
      <c r="G278" s="12" t="s">
        <v>15</v>
      </c>
      <c r="H278" s="12" t="s">
        <v>341</v>
      </c>
      <c r="I278" s="12" t="s">
        <v>902</v>
      </c>
      <c r="J278" s="129" t="str">
        <f t="shared" si="26"/>
        <v>Satin Sable w/Inlay</v>
      </c>
      <c r="K278" s="129"/>
      <c r="L278" s="129"/>
      <c r="AO278" s="14" t="s">
        <v>561</v>
      </c>
      <c r="AP278" s="12" t="s">
        <v>68</v>
      </c>
      <c r="AQ278" s="14" t="s">
        <v>518</v>
      </c>
      <c r="AR278" s="12" t="s">
        <v>954</v>
      </c>
      <c r="AS278" s="129" t="s">
        <v>1343</v>
      </c>
      <c r="BN278" s="154" t="str">
        <f t="shared" si="23"/>
        <v>LF</v>
      </c>
      <c r="BO278" s="12" t="s">
        <v>122</v>
      </c>
      <c r="BP278" s="16" t="s">
        <v>1407</v>
      </c>
      <c r="BQ278" s="244" t="str">
        <f t="shared" si="24"/>
        <v>{[14_15F]:[G2CW]}</v>
      </c>
      <c r="BR278" s="42" t="str">
        <f t="shared" si="25"/>
        <v>Evans G2 Coated Batter</v>
      </c>
      <c r="CC278" s="9" t="s">
        <v>70</v>
      </c>
      <c r="CD278" s="12" t="s">
        <v>151</v>
      </c>
      <c r="CE278" s="77" t="s">
        <v>1407</v>
      </c>
      <c r="CF278" s="244" t="s">
        <v>1628</v>
      </c>
      <c r="CG278" s="42" t="s">
        <v>1435</v>
      </c>
    </row>
    <row r="279" spans="7:85" x14ac:dyDescent="0.3">
      <c r="G279" s="12" t="s">
        <v>15</v>
      </c>
      <c r="H279" s="12" t="s">
        <v>341</v>
      </c>
      <c r="I279" s="12" t="s">
        <v>904</v>
      </c>
      <c r="J279" s="129" t="str">
        <f t="shared" si="26"/>
        <v>Satin Natural w/Inlay</v>
      </c>
      <c r="K279" s="129"/>
      <c r="L279" s="129"/>
      <c r="AO279" s="14" t="s">
        <v>561</v>
      </c>
      <c r="AP279" s="12" t="s">
        <v>68</v>
      </c>
      <c r="AQ279" s="14" t="s">
        <v>16</v>
      </c>
      <c r="AR279" s="12" t="s">
        <v>946</v>
      </c>
      <c r="AS279" s="129" t="s">
        <v>1339</v>
      </c>
      <c r="BN279" s="154" t="str">
        <f t="shared" si="23"/>
        <v>LT</v>
      </c>
      <c r="BO279" s="12" t="s">
        <v>180</v>
      </c>
      <c r="BP279" s="16" t="s">
        <v>1407</v>
      </c>
      <c r="BQ279" s="244" t="str">
        <f t="shared" si="24"/>
        <v>{[14_15T]:[G2CW]}</v>
      </c>
      <c r="BR279" s="42" t="str">
        <f t="shared" si="25"/>
        <v>Evans G2 Coated Batter</v>
      </c>
      <c r="CC279" s="9" t="s">
        <v>70</v>
      </c>
      <c r="CD279" s="12" t="s">
        <v>157</v>
      </c>
      <c r="CE279" s="77" t="s">
        <v>1407</v>
      </c>
      <c r="CF279" s="244" t="s">
        <v>1629</v>
      </c>
      <c r="CG279" s="42" t="s">
        <v>1435</v>
      </c>
    </row>
    <row r="280" spans="7:85" x14ac:dyDescent="0.3">
      <c r="G280" s="12" t="s">
        <v>15</v>
      </c>
      <c r="H280" s="12" t="s">
        <v>341</v>
      </c>
      <c r="I280" s="12" t="s">
        <v>26</v>
      </c>
      <c r="J280" s="129" t="str">
        <f t="shared" si="26"/>
        <v>Satin Sable</v>
      </c>
      <c r="K280" s="129"/>
      <c r="L280" s="129"/>
      <c r="AO280" s="14" t="s">
        <v>561</v>
      </c>
      <c r="AP280" s="12" t="s">
        <v>68</v>
      </c>
      <c r="AQ280" s="14" t="s">
        <v>16</v>
      </c>
      <c r="AR280" s="12" t="s">
        <v>950</v>
      </c>
      <c r="AS280" s="129" t="s">
        <v>1341</v>
      </c>
      <c r="BN280" s="154" t="str">
        <f t="shared" si="23"/>
        <v>LF</v>
      </c>
      <c r="BO280" s="12" t="s">
        <v>125</v>
      </c>
      <c r="BP280" s="16" t="s">
        <v>1407</v>
      </c>
      <c r="BQ280" s="244" t="str">
        <f t="shared" si="24"/>
        <v>{[13_16F]:[G2CW]}</v>
      </c>
      <c r="BR280" s="42" t="str">
        <f t="shared" si="25"/>
        <v>Evans G2 Coated Batter</v>
      </c>
      <c r="CC280" s="9" t="s">
        <v>70</v>
      </c>
      <c r="CD280" s="12" t="s">
        <v>163</v>
      </c>
      <c r="CE280" s="77" t="s">
        <v>1407</v>
      </c>
      <c r="CF280" s="244" t="s">
        <v>1630</v>
      </c>
      <c r="CG280" s="42" t="s">
        <v>1435</v>
      </c>
    </row>
    <row r="281" spans="7:85" x14ac:dyDescent="0.3">
      <c r="G281" s="12" t="s">
        <v>15</v>
      </c>
      <c r="H281" s="12" t="s">
        <v>341</v>
      </c>
      <c r="I281" s="12" t="s">
        <v>914</v>
      </c>
      <c r="J281" s="129" t="str">
        <f t="shared" si="26"/>
        <v>Satin Sable w/Accent</v>
      </c>
      <c r="K281" s="129"/>
      <c r="L281" s="129"/>
      <c r="AO281" s="14" t="s">
        <v>561</v>
      </c>
      <c r="AP281" s="12" t="s">
        <v>68</v>
      </c>
      <c r="AQ281" s="14" t="s">
        <v>16</v>
      </c>
      <c r="AR281" s="12" t="s">
        <v>954</v>
      </c>
      <c r="AS281" s="129" t="s">
        <v>1343</v>
      </c>
      <c r="BN281" s="154" t="str">
        <f t="shared" si="23"/>
        <v>LT</v>
      </c>
      <c r="BO281" s="12" t="s">
        <v>181</v>
      </c>
      <c r="BP281" s="16" t="s">
        <v>1407</v>
      </c>
      <c r="BQ281" s="244" t="str">
        <f t="shared" si="24"/>
        <v>{[13_16T]:[G2CW]}</v>
      </c>
      <c r="BR281" s="42" t="str">
        <f t="shared" si="25"/>
        <v>Evans G2 Coated Batter</v>
      </c>
      <c r="CC281" s="9" t="s">
        <v>70</v>
      </c>
      <c r="CD281" s="12" t="s">
        <v>169</v>
      </c>
      <c r="CE281" s="77" t="s">
        <v>1407</v>
      </c>
      <c r="CF281" s="244" t="s">
        <v>1631</v>
      </c>
      <c r="CG281" s="42" t="s">
        <v>1435</v>
      </c>
    </row>
    <row r="282" spans="7:85" x14ac:dyDescent="0.3">
      <c r="G282" s="12" t="s">
        <v>15</v>
      </c>
      <c r="H282" s="12" t="s">
        <v>341</v>
      </c>
      <c r="I282" s="12" t="s">
        <v>321</v>
      </c>
      <c r="J282" s="129" t="str">
        <f t="shared" si="26"/>
        <v>Satin Natural</v>
      </c>
      <c r="K282" s="129"/>
      <c r="L282" s="129"/>
      <c r="AO282" s="14" t="s">
        <v>561</v>
      </c>
      <c r="AP282" s="12" t="s">
        <v>68</v>
      </c>
      <c r="AQ282" s="14" t="s">
        <v>22</v>
      </c>
      <c r="AR282" s="12" t="s">
        <v>952</v>
      </c>
      <c r="AS282" s="129" t="s">
        <v>1342</v>
      </c>
      <c r="BN282" s="154" t="str">
        <f t="shared" si="23"/>
        <v>LF</v>
      </c>
      <c r="BO282" s="12" t="s">
        <v>126</v>
      </c>
      <c r="BP282" s="16" t="s">
        <v>1407</v>
      </c>
      <c r="BQ282" s="244" t="str">
        <f t="shared" si="24"/>
        <v>{[14_16F]:[G2CW]}</v>
      </c>
      <c r="BR282" s="42" t="str">
        <f t="shared" si="25"/>
        <v>Evans G2 Coated Batter</v>
      </c>
      <c r="CC282" s="9" t="s">
        <v>70</v>
      </c>
      <c r="CD282" s="12" t="s">
        <v>175</v>
      </c>
      <c r="CE282" s="77" t="s">
        <v>1407</v>
      </c>
      <c r="CF282" s="244" t="s">
        <v>1632</v>
      </c>
      <c r="CG282" s="42" t="s">
        <v>1435</v>
      </c>
    </row>
    <row r="283" spans="7:85" x14ac:dyDescent="0.3">
      <c r="G283" s="12" t="s">
        <v>15</v>
      </c>
      <c r="H283" s="12" t="s">
        <v>341</v>
      </c>
      <c r="I283" s="12" t="s">
        <v>912</v>
      </c>
      <c r="J283" s="129" t="str">
        <f t="shared" si="26"/>
        <v>Satin Natural w/Accent</v>
      </c>
      <c r="K283" s="129"/>
      <c r="L283" s="129"/>
      <c r="AO283" s="14" t="s">
        <v>561</v>
      </c>
      <c r="AP283" s="12" t="s">
        <v>68</v>
      </c>
      <c r="AQ283" s="14" t="s">
        <v>22</v>
      </c>
      <c r="AR283" s="12" t="s">
        <v>946</v>
      </c>
      <c r="AS283" s="129" t="s">
        <v>1339</v>
      </c>
      <c r="BN283" s="154" t="str">
        <f t="shared" si="23"/>
        <v>LT</v>
      </c>
      <c r="BO283" s="12" t="s">
        <v>182</v>
      </c>
      <c r="BP283" s="16" t="s">
        <v>1407</v>
      </c>
      <c r="BQ283" s="244" t="str">
        <f t="shared" si="24"/>
        <v>{[14_16T]:[G2CW]}</v>
      </c>
      <c r="BR283" s="42" t="str">
        <f t="shared" si="25"/>
        <v>Evans G2 Coated Batter</v>
      </c>
      <c r="CC283" s="9" t="s">
        <v>70</v>
      </c>
      <c r="CD283" s="12" t="s">
        <v>176</v>
      </c>
      <c r="CE283" s="77" t="s">
        <v>1407</v>
      </c>
      <c r="CF283" s="244" t="s">
        <v>1633</v>
      </c>
      <c r="CG283" s="42" t="s">
        <v>1435</v>
      </c>
    </row>
    <row r="284" spans="7:85" x14ac:dyDescent="0.3">
      <c r="G284" s="12" t="s">
        <v>15</v>
      </c>
      <c r="H284" s="12" t="s">
        <v>341</v>
      </c>
      <c r="I284" s="12" t="s">
        <v>309</v>
      </c>
      <c r="J284" s="129" t="str">
        <f t="shared" si="26"/>
        <v>Natural Hoop</v>
      </c>
      <c r="K284" s="129"/>
      <c r="L284" s="129"/>
      <c r="AO284" s="14" t="s">
        <v>561</v>
      </c>
      <c r="AP284" s="12" t="s">
        <v>68</v>
      </c>
      <c r="AQ284" s="14" t="s">
        <v>22</v>
      </c>
      <c r="AR284" s="12" t="s">
        <v>950</v>
      </c>
      <c r="AS284" s="129" t="s">
        <v>1341</v>
      </c>
      <c r="BN284" s="154" t="str">
        <f t="shared" si="23"/>
        <v>LF</v>
      </c>
      <c r="BO284" s="12" t="s">
        <v>128</v>
      </c>
      <c r="BP284" s="16" t="s">
        <v>1407</v>
      </c>
      <c r="BQ284" s="244" t="str">
        <f t="shared" si="24"/>
        <v>{[15_16F]:[G2CW]}</v>
      </c>
      <c r="BR284" s="42" t="str">
        <f t="shared" si="25"/>
        <v>Evans G2 Coated Batter</v>
      </c>
      <c r="CC284" s="9" t="s">
        <v>70</v>
      </c>
      <c r="CD284" s="12" t="s">
        <v>178</v>
      </c>
      <c r="CE284" s="77" t="s">
        <v>1407</v>
      </c>
      <c r="CF284" s="244" t="s">
        <v>1634</v>
      </c>
      <c r="CG284" s="42" t="s">
        <v>1435</v>
      </c>
    </row>
    <row r="285" spans="7:85" x14ac:dyDescent="0.3">
      <c r="G285" s="12" t="s">
        <v>15</v>
      </c>
      <c r="H285" s="12" t="s">
        <v>341</v>
      </c>
      <c r="I285" s="12" t="s">
        <v>907</v>
      </c>
      <c r="J285" s="129" t="str">
        <f t="shared" si="26"/>
        <v>Natural w/Inlay</v>
      </c>
      <c r="K285" s="129"/>
      <c r="L285" s="129"/>
      <c r="AO285" s="14" t="s">
        <v>561</v>
      </c>
      <c r="AP285" s="12" t="s">
        <v>68</v>
      </c>
      <c r="AQ285" s="14" t="s">
        <v>22</v>
      </c>
      <c r="AR285" s="12" t="s">
        <v>954</v>
      </c>
      <c r="AS285" s="129" t="s">
        <v>1343</v>
      </c>
      <c r="BN285" s="154" t="str">
        <f t="shared" si="23"/>
        <v>LT</v>
      </c>
      <c r="BO285" s="12" t="s">
        <v>183</v>
      </c>
      <c r="BP285" s="16" t="s">
        <v>1407</v>
      </c>
      <c r="BQ285" s="244" t="str">
        <f t="shared" si="24"/>
        <v>{[15_16T]:[G2CW]}</v>
      </c>
      <c r="BR285" s="42" t="str">
        <f t="shared" si="25"/>
        <v>Evans G2 Coated Batter</v>
      </c>
      <c r="CC285" s="9" t="s">
        <v>70</v>
      </c>
      <c r="CD285" s="12" t="s">
        <v>179</v>
      </c>
      <c r="CE285" s="77" t="s">
        <v>1407</v>
      </c>
      <c r="CF285" s="244" t="s">
        <v>1635</v>
      </c>
      <c r="CG285" s="42" t="s">
        <v>1435</v>
      </c>
    </row>
    <row r="286" spans="7:85" x14ac:dyDescent="0.3">
      <c r="G286" s="12" t="s">
        <v>15</v>
      </c>
      <c r="H286" s="12" t="s">
        <v>341</v>
      </c>
      <c r="I286" s="12" t="s">
        <v>909</v>
      </c>
      <c r="J286" s="129" t="str">
        <f t="shared" si="26"/>
        <v>Natural w/Accent</v>
      </c>
      <c r="K286" s="129"/>
      <c r="L286" s="129"/>
      <c r="AO286" s="14" t="s">
        <v>561</v>
      </c>
      <c r="AP286" s="12" t="s">
        <v>81</v>
      </c>
      <c r="AQ286" s="14" t="s">
        <v>518</v>
      </c>
      <c r="AR286" s="12" t="s">
        <v>952</v>
      </c>
      <c r="AS286" s="129" t="s">
        <v>1342</v>
      </c>
      <c r="BN286" s="154" t="str">
        <f t="shared" si="23"/>
        <v>LF</v>
      </c>
      <c r="BO286" s="12" t="s">
        <v>129</v>
      </c>
      <c r="BP286" s="16" t="s">
        <v>1407</v>
      </c>
      <c r="BQ286" s="244" t="str">
        <f t="shared" si="24"/>
        <v>{[16_16F]:[G2CW]}</v>
      </c>
      <c r="BR286" s="42" t="str">
        <f t="shared" si="25"/>
        <v>Evans G2 Coated Batter</v>
      </c>
      <c r="CC286" s="9" t="s">
        <v>70</v>
      </c>
      <c r="CD286" s="12" t="s">
        <v>180</v>
      </c>
      <c r="CE286" s="77" t="s">
        <v>1407</v>
      </c>
      <c r="CF286" s="244" t="s">
        <v>1636</v>
      </c>
      <c r="CG286" s="42" t="s">
        <v>1435</v>
      </c>
    </row>
    <row r="287" spans="7:85" x14ac:dyDescent="0.3">
      <c r="G287" s="12" t="s">
        <v>15</v>
      </c>
      <c r="H287" s="12" t="s">
        <v>341</v>
      </c>
      <c r="I287" s="12" t="s">
        <v>313</v>
      </c>
      <c r="J287" s="129" t="str">
        <f t="shared" si="26"/>
        <v>Sable Black</v>
      </c>
      <c r="K287" s="129"/>
      <c r="L287" s="129"/>
      <c r="AO287" s="14" t="s">
        <v>561</v>
      </c>
      <c r="AP287" s="12" t="s">
        <v>81</v>
      </c>
      <c r="AQ287" s="14" t="s">
        <v>518</v>
      </c>
      <c r="AR287" s="12" t="s">
        <v>948</v>
      </c>
      <c r="AS287" s="129" t="s">
        <v>1340</v>
      </c>
      <c r="BN287" s="154" t="str">
        <f t="shared" si="23"/>
        <v>LT</v>
      </c>
      <c r="BO287" s="12" t="s">
        <v>184</v>
      </c>
      <c r="BP287" s="16" t="s">
        <v>1407</v>
      </c>
      <c r="BQ287" s="244" t="str">
        <f t="shared" si="24"/>
        <v>{[16_16T]:[G2CW]}</v>
      </c>
      <c r="BR287" s="42" t="str">
        <f t="shared" si="25"/>
        <v>Evans G2 Coated Batter</v>
      </c>
      <c r="CC287" s="9" t="s">
        <v>70</v>
      </c>
      <c r="CD287" s="12" t="s">
        <v>181</v>
      </c>
      <c r="CE287" s="77" t="s">
        <v>1407</v>
      </c>
      <c r="CF287" s="244" t="s">
        <v>1637</v>
      </c>
      <c r="CG287" s="42" t="s">
        <v>1435</v>
      </c>
    </row>
    <row r="288" spans="7:85" x14ac:dyDescent="0.3">
      <c r="G288" s="12" t="s">
        <v>16</v>
      </c>
      <c r="H288" s="12" t="s">
        <v>341</v>
      </c>
      <c r="I288" s="12" t="s">
        <v>902</v>
      </c>
      <c r="J288" s="129" t="str">
        <f t="shared" si="26"/>
        <v>Satin Sable w/Inlay</v>
      </c>
      <c r="K288" s="129"/>
      <c r="L288" s="129"/>
      <c r="AO288" s="14" t="s">
        <v>561</v>
      </c>
      <c r="AP288" s="12" t="s">
        <v>81</v>
      </c>
      <c r="AQ288" s="14" t="s">
        <v>518</v>
      </c>
      <c r="AR288" s="12" t="s">
        <v>946</v>
      </c>
      <c r="AS288" s="129" t="s">
        <v>1339</v>
      </c>
      <c r="BN288" s="154" t="str">
        <f t="shared" si="23"/>
        <v>LF</v>
      </c>
      <c r="BO288" s="12" t="s">
        <v>131</v>
      </c>
      <c r="BP288" s="16" t="s">
        <v>1407</v>
      </c>
      <c r="BQ288" s="244" t="str">
        <f t="shared" si="24"/>
        <v>{[16_18F]:[G2CW]}</v>
      </c>
      <c r="BR288" s="42" t="str">
        <f t="shared" si="25"/>
        <v>Evans G2 Coated Batter</v>
      </c>
      <c r="CC288" s="9" t="s">
        <v>70</v>
      </c>
      <c r="CD288" s="12" t="s">
        <v>182</v>
      </c>
      <c r="CE288" s="77" t="s">
        <v>1407</v>
      </c>
      <c r="CF288" s="244" t="s">
        <v>1638</v>
      </c>
      <c r="CG288" s="42" t="s">
        <v>1435</v>
      </c>
    </row>
    <row r="289" spans="7:85" x14ac:dyDescent="0.3">
      <c r="G289" s="12" t="s">
        <v>16</v>
      </c>
      <c r="H289" s="12" t="s">
        <v>341</v>
      </c>
      <c r="I289" s="12" t="s">
        <v>904</v>
      </c>
      <c r="J289" s="129" t="str">
        <f t="shared" si="26"/>
        <v>Satin Natural w/Inlay</v>
      </c>
      <c r="K289" s="129"/>
      <c r="L289" s="129"/>
      <c r="AO289" s="14" t="s">
        <v>561</v>
      </c>
      <c r="AP289" s="12" t="s">
        <v>81</v>
      </c>
      <c r="AQ289" s="14" t="s">
        <v>518</v>
      </c>
      <c r="AR289" s="12" t="s">
        <v>950</v>
      </c>
      <c r="AS289" s="129" t="s">
        <v>1341</v>
      </c>
      <c r="BN289" s="154" t="str">
        <f t="shared" si="23"/>
        <v>LT</v>
      </c>
      <c r="BO289" s="12" t="s">
        <v>205</v>
      </c>
      <c r="BP289" s="16" t="s">
        <v>1407</v>
      </c>
      <c r="BQ289" s="244" t="str">
        <f t="shared" si="24"/>
        <v>{[16_18T]:[G2CW]}</v>
      </c>
      <c r="BR289" s="42" t="str">
        <f t="shared" si="25"/>
        <v>Evans G2 Coated Batter</v>
      </c>
      <c r="CC289" s="9" t="s">
        <v>70</v>
      </c>
      <c r="CD289" s="12" t="s">
        <v>183</v>
      </c>
      <c r="CE289" s="77" t="s">
        <v>1407</v>
      </c>
      <c r="CF289" s="244" t="s">
        <v>1639</v>
      </c>
      <c r="CG289" s="42" t="s">
        <v>1435</v>
      </c>
    </row>
    <row r="290" spans="7:85" x14ac:dyDescent="0.3">
      <c r="G290" s="12" t="s">
        <v>16</v>
      </c>
      <c r="H290" s="12" t="s">
        <v>341</v>
      </c>
      <c r="I290" s="12" t="s">
        <v>26</v>
      </c>
      <c r="J290" s="129" t="str">
        <f t="shared" si="26"/>
        <v>Satin Sable</v>
      </c>
      <c r="K290" s="129"/>
      <c r="L290" s="129"/>
      <c r="AO290" s="14" t="s">
        <v>561</v>
      </c>
      <c r="AP290" s="12" t="s">
        <v>81</v>
      </c>
      <c r="AQ290" s="14" t="s">
        <v>518</v>
      </c>
      <c r="AR290" s="12" t="s">
        <v>954</v>
      </c>
      <c r="AS290" s="129" t="s">
        <v>1343</v>
      </c>
      <c r="BN290" s="154" t="str">
        <f t="shared" si="23"/>
        <v>LS</v>
      </c>
      <c r="BO290" s="12" t="s">
        <v>186</v>
      </c>
      <c r="BP290" s="16" t="s">
        <v>1407</v>
      </c>
      <c r="BQ290" s="244" t="str">
        <f t="shared" si="24"/>
        <v>{[6_12S]:[G2CW]}</v>
      </c>
      <c r="BR290" s="42" t="str">
        <f t="shared" si="25"/>
        <v>Evans G2 Coated Batter</v>
      </c>
      <c r="CC290" s="9" t="s">
        <v>70</v>
      </c>
      <c r="CD290" s="12" t="s">
        <v>184</v>
      </c>
      <c r="CE290" s="77" t="s">
        <v>1407</v>
      </c>
      <c r="CF290" s="244" t="s">
        <v>1640</v>
      </c>
      <c r="CG290" s="42" t="s">
        <v>1435</v>
      </c>
    </row>
    <row r="291" spans="7:85" x14ac:dyDescent="0.3">
      <c r="G291" s="12" t="s">
        <v>16</v>
      </c>
      <c r="H291" s="12" t="s">
        <v>341</v>
      </c>
      <c r="I291" s="12" t="s">
        <v>914</v>
      </c>
      <c r="J291" s="129" t="str">
        <f t="shared" si="26"/>
        <v>Satin Sable w/Accent</v>
      </c>
      <c r="K291" s="129"/>
      <c r="L291" s="129"/>
      <c r="AO291" s="14" t="s">
        <v>561</v>
      </c>
      <c r="AP291" s="12" t="s">
        <v>81</v>
      </c>
      <c r="AQ291" s="14" t="s">
        <v>16</v>
      </c>
      <c r="AR291" s="12" t="s">
        <v>948</v>
      </c>
      <c r="AS291" s="129" t="s">
        <v>1340</v>
      </c>
      <c r="BN291" s="154" t="str">
        <f t="shared" si="23"/>
        <v>LS</v>
      </c>
      <c r="BO291" s="12" t="s">
        <v>187</v>
      </c>
      <c r="BP291" s="16" t="s">
        <v>1407</v>
      </c>
      <c r="BQ291" s="244" t="str">
        <f t="shared" si="24"/>
        <v>{[3H_13S]:[G2CW]}</v>
      </c>
      <c r="BR291" s="42" t="str">
        <f t="shared" si="25"/>
        <v>Evans G2 Coated Batter</v>
      </c>
      <c r="CC291" s="9" t="s">
        <v>70</v>
      </c>
      <c r="CD291" s="12" t="s">
        <v>205</v>
      </c>
      <c r="CE291" s="77" t="s">
        <v>1407</v>
      </c>
      <c r="CF291" s="244" t="s">
        <v>1641</v>
      </c>
      <c r="CG291" s="42" t="s">
        <v>1435</v>
      </c>
    </row>
    <row r="292" spans="7:85" x14ac:dyDescent="0.3">
      <c r="G292" s="12" t="s">
        <v>16</v>
      </c>
      <c r="H292" s="12" t="s">
        <v>341</v>
      </c>
      <c r="I292" s="12" t="s">
        <v>321</v>
      </c>
      <c r="J292" s="129" t="str">
        <f t="shared" si="26"/>
        <v>Satin Natural</v>
      </c>
      <c r="K292" s="129"/>
      <c r="L292" s="129"/>
      <c r="AO292" s="14" t="s">
        <v>561</v>
      </c>
      <c r="AP292" s="12" t="s">
        <v>81</v>
      </c>
      <c r="AQ292" s="14" t="s">
        <v>16</v>
      </c>
      <c r="AR292" s="12" t="s">
        <v>946</v>
      </c>
      <c r="AS292" s="129" t="s">
        <v>1339</v>
      </c>
      <c r="BN292" s="154" t="str">
        <f t="shared" si="23"/>
        <v>LS</v>
      </c>
      <c r="BO292" s="12" t="s">
        <v>189</v>
      </c>
      <c r="BP292" s="16" t="s">
        <v>1407</v>
      </c>
      <c r="BQ292" s="244" t="str">
        <f t="shared" si="24"/>
        <v>{[6_13S]:[G2CW]}</v>
      </c>
      <c r="BR292" s="42" t="str">
        <f t="shared" si="25"/>
        <v>Evans G2 Coated Batter</v>
      </c>
      <c r="CC292" s="12" t="s">
        <v>56</v>
      </c>
      <c r="CD292" s="12" t="s">
        <v>110</v>
      </c>
      <c r="CE292" s="77" t="s">
        <v>1407</v>
      </c>
      <c r="CF292" s="244" t="s">
        <v>1642</v>
      </c>
      <c r="CG292" s="42" t="s">
        <v>1435</v>
      </c>
    </row>
    <row r="293" spans="7:85" x14ac:dyDescent="0.3">
      <c r="G293" s="12" t="s">
        <v>16</v>
      </c>
      <c r="H293" s="12" t="s">
        <v>341</v>
      </c>
      <c r="I293" s="12" t="s">
        <v>912</v>
      </c>
      <c r="J293" s="129" t="str">
        <f t="shared" si="26"/>
        <v>Satin Natural w/Accent</v>
      </c>
      <c r="K293" s="129"/>
      <c r="L293" s="129"/>
      <c r="AO293" s="14" t="s">
        <v>561</v>
      </c>
      <c r="AP293" s="12" t="s">
        <v>81</v>
      </c>
      <c r="AQ293" s="14" t="s">
        <v>16</v>
      </c>
      <c r="AR293" s="12" t="s">
        <v>950</v>
      </c>
      <c r="AS293" s="129" t="s">
        <v>1341</v>
      </c>
      <c r="BN293" s="154" t="str">
        <f t="shared" si="23"/>
        <v>LS</v>
      </c>
      <c r="BO293" s="12" t="s">
        <v>191</v>
      </c>
      <c r="BP293" s="16" t="s">
        <v>1407</v>
      </c>
      <c r="BQ293" s="244" t="str">
        <f t="shared" si="24"/>
        <v>{[5_14S]:[G2CW]}</v>
      </c>
      <c r="BR293" s="42" t="str">
        <f t="shared" si="25"/>
        <v>Evans G2 Coated Batter</v>
      </c>
      <c r="CC293" s="12" t="s">
        <v>56</v>
      </c>
      <c r="CD293" s="12" t="s">
        <v>113</v>
      </c>
      <c r="CE293" s="77" t="s">
        <v>1407</v>
      </c>
      <c r="CF293" s="244" t="s">
        <v>1643</v>
      </c>
      <c r="CG293" s="42" t="s">
        <v>1435</v>
      </c>
    </row>
    <row r="294" spans="7:85" x14ac:dyDescent="0.3">
      <c r="G294" s="12" t="s">
        <v>16</v>
      </c>
      <c r="H294" s="12" t="s">
        <v>341</v>
      </c>
      <c r="I294" s="12" t="s">
        <v>309</v>
      </c>
      <c r="J294" s="129" t="str">
        <f t="shared" si="26"/>
        <v>Natural Hoop</v>
      </c>
      <c r="K294" s="129"/>
      <c r="L294" s="129"/>
      <c r="AO294" s="14" t="s">
        <v>561</v>
      </c>
      <c r="AP294" s="12" t="s">
        <v>81</v>
      </c>
      <c r="AQ294" s="14" t="s">
        <v>16</v>
      </c>
      <c r="AR294" s="12" t="s">
        <v>954</v>
      </c>
      <c r="AS294" s="129" t="s">
        <v>1343</v>
      </c>
      <c r="BN294" s="154" t="str">
        <f t="shared" si="23"/>
        <v>LS</v>
      </c>
      <c r="BO294" s="12" t="s">
        <v>196</v>
      </c>
      <c r="BP294" s="16" t="s">
        <v>1407</v>
      </c>
      <c r="BQ294" s="244" t="str">
        <f t="shared" si="24"/>
        <v>{[5_14x8S]:[G2CW]}</v>
      </c>
      <c r="BR294" s="42" t="str">
        <f t="shared" si="25"/>
        <v>Evans G2 Coated Batter</v>
      </c>
      <c r="CC294" s="12" t="s">
        <v>56</v>
      </c>
      <c r="CD294" s="12" t="s">
        <v>116</v>
      </c>
      <c r="CE294" s="77" t="s">
        <v>1407</v>
      </c>
      <c r="CF294" s="244" t="s">
        <v>1644</v>
      </c>
      <c r="CG294" s="42" t="s">
        <v>1435</v>
      </c>
    </row>
    <row r="295" spans="7:85" x14ac:dyDescent="0.3">
      <c r="G295" s="12" t="s">
        <v>16</v>
      </c>
      <c r="H295" s="12" t="s">
        <v>341</v>
      </c>
      <c r="I295" s="12" t="s">
        <v>907</v>
      </c>
      <c r="J295" s="129" t="str">
        <f t="shared" si="26"/>
        <v>Natural w/Inlay</v>
      </c>
      <c r="K295" s="129"/>
      <c r="L295" s="129"/>
      <c r="AO295" s="14" t="s">
        <v>561</v>
      </c>
      <c r="AP295" s="12" t="s">
        <v>81</v>
      </c>
      <c r="AQ295" s="14" t="s">
        <v>22</v>
      </c>
      <c r="AR295" s="12" t="s">
        <v>952</v>
      </c>
      <c r="AS295" s="129" t="s">
        <v>1342</v>
      </c>
      <c r="BN295" s="154" t="str">
        <f t="shared" si="23"/>
        <v>LS</v>
      </c>
      <c r="BO295" s="12" t="s">
        <v>197</v>
      </c>
      <c r="BP295" s="16" t="s">
        <v>1407</v>
      </c>
      <c r="BQ295" s="244" t="str">
        <f t="shared" si="24"/>
        <v>{[5H_14x8S]:[G2CW]}</v>
      </c>
      <c r="BR295" s="42" t="str">
        <f t="shared" si="25"/>
        <v>Evans G2 Coated Batter</v>
      </c>
      <c r="CC295" s="12" t="s">
        <v>56</v>
      </c>
      <c r="CD295" s="12" t="s">
        <v>118</v>
      </c>
      <c r="CE295" s="77" t="s">
        <v>1407</v>
      </c>
      <c r="CF295" s="244" t="s">
        <v>1645</v>
      </c>
      <c r="CG295" s="42" t="s">
        <v>1435</v>
      </c>
    </row>
    <row r="296" spans="7:85" x14ac:dyDescent="0.3">
      <c r="G296" s="12" t="s">
        <v>16</v>
      </c>
      <c r="H296" s="12" t="s">
        <v>341</v>
      </c>
      <c r="I296" s="12" t="s">
        <v>909</v>
      </c>
      <c r="J296" s="129" t="str">
        <f t="shared" si="26"/>
        <v>Natural w/Accent</v>
      </c>
      <c r="K296" s="129"/>
      <c r="L296" s="129"/>
      <c r="AO296" s="14" t="s">
        <v>561</v>
      </c>
      <c r="AP296" s="12" t="s">
        <v>81</v>
      </c>
      <c r="AQ296" s="14" t="s">
        <v>22</v>
      </c>
      <c r="AR296" s="12" t="s">
        <v>948</v>
      </c>
      <c r="AS296" s="129" t="s">
        <v>1340</v>
      </c>
      <c r="BN296" s="154" t="str">
        <f t="shared" si="23"/>
        <v>LS</v>
      </c>
      <c r="BO296" s="12" t="s">
        <v>193</v>
      </c>
      <c r="BP296" s="16" t="s">
        <v>1407</v>
      </c>
      <c r="BQ296" s="244" t="str">
        <f t="shared" si="24"/>
        <v>{[6H_14S]:[G2CW]}</v>
      </c>
      <c r="BR296" s="42" t="str">
        <f t="shared" si="25"/>
        <v>Evans G2 Coated Batter</v>
      </c>
      <c r="CC296" s="12" t="s">
        <v>56</v>
      </c>
      <c r="CD296" s="12" t="s">
        <v>122</v>
      </c>
      <c r="CE296" s="77" t="s">
        <v>1407</v>
      </c>
      <c r="CF296" s="244" t="s">
        <v>1646</v>
      </c>
      <c r="CG296" s="42" t="s">
        <v>1435</v>
      </c>
    </row>
    <row r="297" spans="7:85" x14ac:dyDescent="0.3">
      <c r="G297" s="12" t="s">
        <v>16</v>
      </c>
      <c r="H297" s="12" t="s">
        <v>341</v>
      </c>
      <c r="I297" s="12" t="s">
        <v>313</v>
      </c>
      <c r="J297" s="129" t="str">
        <f t="shared" si="26"/>
        <v>Sable Black</v>
      </c>
      <c r="K297" s="129"/>
      <c r="L297" s="129"/>
      <c r="AO297" s="14" t="s">
        <v>561</v>
      </c>
      <c r="AP297" s="12" t="s">
        <v>81</v>
      </c>
      <c r="AQ297" s="14" t="s">
        <v>22</v>
      </c>
      <c r="AR297" s="12" t="s">
        <v>946</v>
      </c>
      <c r="AS297" s="129" t="s">
        <v>1339</v>
      </c>
      <c r="BN297" s="154" t="str">
        <f t="shared" si="23"/>
        <v>LS</v>
      </c>
      <c r="BO297" s="12" t="s">
        <v>198</v>
      </c>
      <c r="BP297" s="16" t="s">
        <v>1407</v>
      </c>
      <c r="BQ297" s="244" t="str">
        <f t="shared" si="24"/>
        <v>{[6H_14x8S]:[G2CW]}</v>
      </c>
      <c r="BR297" s="42" t="str">
        <f t="shared" si="25"/>
        <v>Evans G2 Coated Batter</v>
      </c>
      <c r="CC297" s="12" t="s">
        <v>56</v>
      </c>
      <c r="CD297" s="12" t="s">
        <v>125</v>
      </c>
      <c r="CE297" s="77" t="s">
        <v>1407</v>
      </c>
      <c r="CF297" s="244" t="s">
        <v>1647</v>
      </c>
      <c r="CG297" s="42" t="s">
        <v>1435</v>
      </c>
    </row>
    <row r="298" spans="7:85" x14ac:dyDescent="0.3">
      <c r="G298" s="12" t="s">
        <v>17</v>
      </c>
      <c r="H298" s="12" t="s">
        <v>341</v>
      </c>
      <c r="I298" s="12" t="s">
        <v>902</v>
      </c>
      <c r="J298" s="129" t="str">
        <f t="shared" si="26"/>
        <v>Satin Sable w/Inlay</v>
      </c>
      <c r="K298" s="129"/>
      <c r="L298" s="129"/>
      <c r="AO298" s="14" t="s">
        <v>561</v>
      </c>
      <c r="AP298" s="12" t="s">
        <v>81</v>
      </c>
      <c r="AQ298" s="14" t="s">
        <v>22</v>
      </c>
      <c r="AR298" s="12" t="s">
        <v>950</v>
      </c>
      <c r="AS298" s="129" t="s">
        <v>1341</v>
      </c>
      <c r="BN298" s="154" t="str">
        <f t="shared" si="23"/>
        <v>LS</v>
      </c>
      <c r="BO298" s="12" t="s">
        <v>441</v>
      </c>
      <c r="BP298" s="16" t="s">
        <v>1407</v>
      </c>
      <c r="BQ298" s="244" t="str">
        <f t="shared" si="24"/>
        <v>{[7_14S]:[G2CW]}</v>
      </c>
      <c r="BR298" s="42" t="str">
        <f t="shared" si="25"/>
        <v>Evans G2 Coated Batter</v>
      </c>
      <c r="CC298" s="12" t="s">
        <v>56</v>
      </c>
      <c r="CD298" s="12" t="s">
        <v>126</v>
      </c>
      <c r="CE298" s="77" t="s">
        <v>1407</v>
      </c>
      <c r="CF298" s="244" t="s">
        <v>1648</v>
      </c>
      <c r="CG298" s="42" t="s">
        <v>1435</v>
      </c>
    </row>
    <row r="299" spans="7:85" x14ac:dyDescent="0.3">
      <c r="G299" s="12" t="s">
        <v>17</v>
      </c>
      <c r="H299" s="12" t="s">
        <v>341</v>
      </c>
      <c r="I299" s="12" t="s">
        <v>904</v>
      </c>
      <c r="J299" s="129" t="str">
        <f t="shared" si="26"/>
        <v>Satin Natural w/Inlay</v>
      </c>
      <c r="K299" s="129"/>
      <c r="L299" s="129"/>
      <c r="AO299" s="14" t="s">
        <v>561</v>
      </c>
      <c r="AP299" s="12" t="s">
        <v>81</v>
      </c>
      <c r="AQ299" s="14" t="s">
        <v>22</v>
      </c>
      <c r="AR299" s="12" t="s">
        <v>954</v>
      </c>
      <c r="AS299" s="129" t="s">
        <v>1343</v>
      </c>
      <c r="BN299" s="154" t="str">
        <f t="shared" si="23"/>
        <v>LS</v>
      </c>
      <c r="BO299" s="12" t="s">
        <v>194</v>
      </c>
      <c r="BP299" s="16" t="s">
        <v>1407</v>
      </c>
      <c r="BQ299" s="244" t="str">
        <f t="shared" si="24"/>
        <v>{[8_14S]:[G2CW]}</v>
      </c>
      <c r="BR299" s="42" t="str">
        <f t="shared" si="25"/>
        <v>Evans G2 Coated Batter</v>
      </c>
      <c r="CC299" s="12" t="s">
        <v>56</v>
      </c>
      <c r="CD299" s="12" t="s">
        <v>128</v>
      </c>
      <c r="CE299" s="77" t="s">
        <v>1407</v>
      </c>
      <c r="CF299" s="244" t="s">
        <v>1649</v>
      </c>
      <c r="CG299" s="42" t="s">
        <v>1435</v>
      </c>
    </row>
    <row r="300" spans="7:85" x14ac:dyDescent="0.3">
      <c r="G300" s="12" t="s">
        <v>17</v>
      </c>
      <c r="H300" s="12" t="s">
        <v>341</v>
      </c>
      <c r="I300" s="12" t="s">
        <v>26</v>
      </c>
      <c r="J300" s="129" t="str">
        <f t="shared" si="26"/>
        <v>Satin Sable</v>
      </c>
      <c r="K300" s="129"/>
      <c r="L300" s="129"/>
      <c r="AO300" s="14" t="s">
        <v>561</v>
      </c>
      <c r="AP300" s="12" t="s">
        <v>93</v>
      </c>
      <c r="AQ300" s="14" t="s">
        <v>518</v>
      </c>
      <c r="AR300" s="12" t="s">
        <v>952</v>
      </c>
      <c r="AS300" s="129" t="s">
        <v>1342</v>
      </c>
      <c r="BN300" s="154" t="str">
        <f t="shared" si="23"/>
        <v>LS</v>
      </c>
      <c r="BO300" s="12" t="s">
        <v>203</v>
      </c>
      <c r="BP300" s="16" t="s">
        <v>1407</v>
      </c>
      <c r="BQ300" s="244" t="str">
        <f t="shared" si="24"/>
        <v>{[10_14S]:[G2CW]}</v>
      </c>
      <c r="BR300" s="42" t="str">
        <f t="shared" si="25"/>
        <v>Evans G2 Coated Batter</v>
      </c>
      <c r="CC300" s="12" t="s">
        <v>56</v>
      </c>
      <c r="CD300" s="12" t="s">
        <v>129</v>
      </c>
      <c r="CE300" s="77" t="s">
        <v>1407</v>
      </c>
      <c r="CF300" s="244" t="s">
        <v>1650</v>
      </c>
      <c r="CG300" s="42" t="s">
        <v>1435</v>
      </c>
    </row>
    <row r="301" spans="7:85" x14ac:dyDescent="0.3">
      <c r="G301" s="12" t="s">
        <v>17</v>
      </c>
      <c r="H301" s="12" t="s">
        <v>341</v>
      </c>
      <c r="I301" s="12" t="s">
        <v>914</v>
      </c>
      <c r="J301" s="129" t="str">
        <f t="shared" si="26"/>
        <v>Satin Sable w/Accent</v>
      </c>
      <c r="K301" s="129"/>
      <c r="L301" s="129"/>
      <c r="AO301" s="14" t="s">
        <v>561</v>
      </c>
      <c r="AP301" s="12" t="s">
        <v>93</v>
      </c>
      <c r="AQ301" s="14" t="s">
        <v>518</v>
      </c>
      <c r="AR301" s="12" t="s">
        <v>948</v>
      </c>
      <c r="AS301" s="129" t="s">
        <v>1340</v>
      </c>
      <c r="BN301" s="154" t="str">
        <f t="shared" si="23"/>
        <v>LS</v>
      </c>
      <c r="BO301" s="12" t="s">
        <v>190</v>
      </c>
      <c r="BP301" s="16" t="s">
        <v>1407</v>
      </c>
      <c r="BQ301" s="244" t="str">
        <f t="shared" si="24"/>
        <v>{[4_14S]:[G2CW]}</v>
      </c>
      <c r="BR301" s="42" t="str">
        <f t="shared" si="25"/>
        <v>Evans G2 Coated Batter</v>
      </c>
      <c r="CC301" s="12" t="s">
        <v>56</v>
      </c>
      <c r="CD301" s="12" t="s">
        <v>131</v>
      </c>
      <c r="CE301" s="77" t="s">
        <v>1407</v>
      </c>
      <c r="CF301" s="244" t="s">
        <v>1651</v>
      </c>
      <c r="CG301" s="42" t="s">
        <v>1435</v>
      </c>
    </row>
    <row r="302" spans="7:85" x14ac:dyDescent="0.3">
      <c r="G302" s="12" t="s">
        <v>17</v>
      </c>
      <c r="H302" s="12" t="s">
        <v>341</v>
      </c>
      <c r="I302" s="12" t="s">
        <v>321</v>
      </c>
      <c r="J302" s="129" t="str">
        <f t="shared" si="26"/>
        <v>Satin Natural</v>
      </c>
      <c r="K302" s="129"/>
      <c r="L302" s="129"/>
      <c r="AO302" s="14" t="s">
        <v>561</v>
      </c>
      <c r="AP302" s="12" t="s">
        <v>93</v>
      </c>
      <c r="AQ302" s="14" t="s">
        <v>518</v>
      </c>
      <c r="AR302" s="12" t="s">
        <v>946</v>
      </c>
      <c r="AS302" s="129" t="s">
        <v>1339</v>
      </c>
      <c r="BN302" s="154" t="str">
        <f t="shared" si="23"/>
        <v>LS</v>
      </c>
      <c r="BO302" s="12" t="s">
        <v>195</v>
      </c>
      <c r="BP302" s="16" t="s">
        <v>1407</v>
      </c>
      <c r="BQ302" s="244" t="str">
        <f t="shared" si="24"/>
        <v>{[4_14x8S]:[G2CW]}</v>
      </c>
      <c r="BR302" s="42" t="str">
        <f t="shared" si="25"/>
        <v>Evans G2 Coated Batter</v>
      </c>
      <c r="CC302" s="9" t="s">
        <v>70</v>
      </c>
      <c r="CD302" s="12" t="s">
        <v>206</v>
      </c>
      <c r="CE302" s="77" t="s">
        <v>1409</v>
      </c>
      <c r="CF302" s="244" t="s">
        <v>1652</v>
      </c>
      <c r="CG302" s="42" t="s">
        <v>1436</v>
      </c>
    </row>
    <row r="303" spans="7:85" x14ac:dyDescent="0.3">
      <c r="G303" s="12" t="s">
        <v>17</v>
      </c>
      <c r="H303" s="12" t="s">
        <v>341</v>
      </c>
      <c r="I303" s="12" t="s">
        <v>912</v>
      </c>
      <c r="J303" s="129" t="str">
        <f t="shared" si="26"/>
        <v>Satin Natural w/Accent</v>
      </c>
      <c r="K303" s="129"/>
      <c r="L303" s="129"/>
      <c r="AO303" s="14" t="s">
        <v>561</v>
      </c>
      <c r="AP303" s="12" t="s">
        <v>93</v>
      </c>
      <c r="AQ303" s="14" t="s">
        <v>518</v>
      </c>
      <c r="AR303" s="12" t="s">
        <v>950</v>
      </c>
      <c r="AS303" s="129" t="s">
        <v>1341</v>
      </c>
      <c r="BN303" s="154" t="str">
        <f t="shared" si="23"/>
        <v>LT</v>
      </c>
      <c r="BO303" s="12" t="s">
        <v>206</v>
      </c>
      <c r="BP303" s="16" t="s">
        <v>1409</v>
      </c>
      <c r="BQ303" s="244" t="str">
        <f t="shared" si="24"/>
        <v>{[6_6T]:[G1CL]}</v>
      </c>
      <c r="BR303" s="42" t="str">
        <f t="shared" si="25"/>
        <v>Evans G1 Clear Batter</v>
      </c>
      <c r="CC303" s="9" t="s">
        <v>70</v>
      </c>
      <c r="CD303" s="12" t="s">
        <v>132</v>
      </c>
      <c r="CE303" s="77" t="s">
        <v>1409</v>
      </c>
      <c r="CF303" s="244" t="s">
        <v>1653</v>
      </c>
      <c r="CG303" s="42" t="s">
        <v>1436</v>
      </c>
    </row>
    <row r="304" spans="7:85" x14ac:dyDescent="0.3">
      <c r="G304" s="12" t="s">
        <v>17</v>
      </c>
      <c r="H304" s="12" t="s">
        <v>341</v>
      </c>
      <c r="I304" s="12" t="s">
        <v>309</v>
      </c>
      <c r="J304" s="129" t="str">
        <f t="shared" si="26"/>
        <v>Natural Hoop</v>
      </c>
      <c r="K304" s="129"/>
      <c r="L304" s="129"/>
      <c r="AO304" s="14" t="s">
        <v>561</v>
      </c>
      <c r="AP304" s="12" t="s">
        <v>93</v>
      </c>
      <c r="AQ304" s="14" t="s">
        <v>518</v>
      </c>
      <c r="AR304" s="12" t="s">
        <v>954</v>
      </c>
      <c r="AS304" s="129" t="s">
        <v>1343</v>
      </c>
      <c r="BN304" s="154" t="str">
        <f t="shared" si="23"/>
        <v>LT</v>
      </c>
      <c r="BO304" s="12" t="s">
        <v>132</v>
      </c>
      <c r="BP304" s="16" t="s">
        <v>1409</v>
      </c>
      <c r="BQ304" s="244" t="str">
        <f t="shared" si="24"/>
        <v>{[7_6T]:[G1CL]}</v>
      </c>
      <c r="BR304" s="42" t="str">
        <f t="shared" si="25"/>
        <v>Evans G1 Clear Batter</v>
      </c>
      <c r="CC304" s="9" t="s">
        <v>70</v>
      </c>
      <c r="CD304" s="12" t="s">
        <v>133</v>
      </c>
      <c r="CE304" s="77" t="s">
        <v>1409</v>
      </c>
      <c r="CF304" s="244" t="s">
        <v>1654</v>
      </c>
      <c r="CG304" s="42" t="s">
        <v>1436</v>
      </c>
    </row>
    <row r="305" spans="7:85" x14ac:dyDescent="0.3">
      <c r="G305" s="12" t="s">
        <v>17</v>
      </c>
      <c r="H305" s="12" t="s">
        <v>341</v>
      </c>
      <c r="I305" s="12" t="s">
        <v>907</v>
      </c>
      <c r="J305" s="129" t="str">
        <f t="shared" si="26"/>
        <v>Natural w/Inlay</v>
      </c>
      <c r="K305" s="129"/>
      <c r="L305" s="129"/>
      <c r="AO305" s="14" t="s">
        <v>561</v>
      </c>
      <c r="AP305" s="12" t="s">
        <v>93</v>
      </c>
      <c r="AQ305" s="14" t="s">
        <v>16</v>
      </c>
      <c r="AR305" s="12" t="s">
        <v>948</v>
      </c>
      <c r="AS305" s="129" t="s">
        <v>1340</v>
      </c>
      <c r="BN305" s="154" t="str">
        <f t="shared" si="23"/>
        <v>LT</v>
      </c>
      <c r="BO305" s="12" t="s">
        <v>133</v>
      </c>
      <c r="BP305" s="16" t="s">
        <v>1409</v>
      </c>
      <c r="BQ305" s="244" t="str">
        <f t="shared" si="24"/>
        <v>{[8_6T]:[G1CL]}</v>
      </c>
      <c r="BR305" s="42" t="str">
        <f t="shared" si="25"/>
        <v>Evans G1 Clear Batter</v>
      </c>
      <c r="CC305" s="9" t="s">
        <v>70</v>
      </c>
      <c r="CD305" s="12" t="s">
        <v>207</v>
      </c>
      <c r="CE305" s="77" t="s">
        <v>1409</v>
      </c>
      <c r="CF305" s="244" t="s">
        <v>1655</v>
      </c>
      <c r="CG305" s="42" t="s">
        <v>1436</v>
      </c>
    </row>
    <row r="306" spans="7:85" x14ac:dyDescent="0.3">
      <c r="G306" s="12" t="s">
        <v>17</v>
      </c>
      <c r="H306" s="12" t="s">
        <v>341</v>
      </c>
      <c r="I306" s="12" t="s">
        <v>909</v>
      </c>
      <c r="J306" s="129" t="str">
        <f t="shared" si="26"/>
        <v>Natural w/Accent</v>
      </c>
      <c r="K306" s="129"/>
      <c r="L306" s="129"/>
      <c r="AO306" s="14" t="s">
        <v>561</v>
      </c>
      <c r="AP306" s="12" t="s">
        <v>93</v>
      </c>
      <c r="AQ306" s="14" t="s">
        <v>16</v>
      </c>
      <c r="AR306" s="12" t="s">
        <v>946</v>
      </c>
      <c r="AS306" s="129" t="s">
        <v>1339</v>
      </c>
      <c r="BN306" s="154" t="str">
        <f t="shared" si="23"/>
        <v>LT</v>
      </c>
      <c r="BO306" s="12" t="s">
        <v>207</v>
      </c>
      <c r="BP306" s="16" t="s">
        <v>1409</v>
      </c>
      <c r="BQ306" s="244" t="str">
        <f t="shared" si="24"/>
        <v>{[6_8T]:[G1CL]}</v>
      </c>
      <c r="BR306" s="42" t="str">
        <f t="shared" si="25"/>
        <v>Evans G1 Clear Batter</v>
      </c>
      <c r="CC306" s="9" t="s">
        <v>70</v>
      </c>
      <c r="CD306" s="12" t="s">
        <v>134</v>
      </c>
      <c r="CE306" s="77" t="s">
        <v>1409</v>
      </c>
      <c r="CF306" s="244" t="s">
        <v>1656</v>
      </c>
      <c r="CG306" s="42" t="s">
        <v>1436</v>
      </c>
    </row>
    <row r="307" spans="7:85" x14ac:dyDescent="0.3">
      <c r="G307" s="12" t="s">
        <v>17</v>
      </c>
      <c r="H307" s="12" t="s">
        <v>341</v>
      </c>
      <c r="I307" s="12" t="s">
        <v>313</v>
      </c>
      <c r="J307" s="129" t="str">
        <f t="shared" si="26"/>
        <v>Sable Black</v>
      </c>
      <c r="K307" s="129"/>
      <c r="L307" s="129"/>
      <c r="AO307" s="14" t="s">
        <v>561</v>
      </c>
      <c r="AP307" s="12" t="s">
        <v>93</v>
      </c>
      <c r="AQ307" s="14" t="s">
        <v>16</v>
      </c>
      <c r="AR307" s="12" t="s">
        <v>950</v>
      </c>
      <c r="AS307" s="129" t="s">
        <v>1341</v>
      </c>
      <c r="BN307" s="154" t="str">
        <f t="shared" si="23"/>
        <v>LT</v>
      </c>
      <c r="BO307" s="12" t="s">
        <v>134</v>
      </c>
      <c r="BP307" s="16" t="s">
        <v>1409</v>
      </c>
      <c r="BQ307" s="244" t="str">
        <f t="shared" si="24"/>
        <v>{[7_8T]:[G1CL]}</v>
      </c>
      <c r="BR307" s="42" t="str">
        <f t="shared" si="25"/>
        <v>Evans G1 Clear Batter</v>
      </c>
      <c r="CC307" s="9" t="s">
        <v>70</v>
      </c>
      <c r="CD307" s="12" t="s">
        <v>136</v>
      </c>
      <c r="CE307" s="77" t="s">
        <v>1409</v>
      </c>
      <c r="CF307" s="244" t="s">
        <v>1657</v>
      </c>
      <c r="CG307" s="42" t="s">
        <v>1436</v>
      </c>
    </row>
    <row r="308" spans="7:85" x14ac:dyDescent="0.3">
      <c r="G308" s="12" t="s">
        <v>19</v>
      </c>
      <c r="H308" s="12" t="s">
        <v>341</v>
      </c>
      <c r="I308" s="12" t="s">
        <v>902</v>
      </c>
      <c r="J308" s="129" t="str">
        <f t="shared" si="26"/>
        <v>Satin Sable w/Inlay</v>
      </c>
      <c r="K308" s="129"/>
      <c r="L308" s="129"/>
      <c r="AO308" s="14" t="s">
        <v>561</v>
      </c>
      <c r="AP308" s="12" t="s">
        <v>93</v>
      </c>
      <c r="AQ308" s="14" t="s">
        <v>16</v>
      </c>
      <c r="AR308" s="12" t="s">
        <v>954</v>
      </c>
      <c r="AS308" s="129" t="s">
        <v>1343</v>
      </c>
      <c r="BN308" s="154" t="str">
        <f t="shared" si="23"/>
        <v>LT</v>
      </c>
      <c r="BO308" s="12" t="s">
        <v>136</v>
      </c>
      <c r="BP308" s="16" t="s">
        <v>1409</v>
      </c>
      <c r="BQ308" s="244" t="str">
        <f t="shared" si="24"/>
        <v>{[8_8T]:[G1CL]}</v>
      </c>
      <c r="BR308" s="42" t="str">
        <f t="shared" si="25"/>
        <v>Evans G1 Clear Batter</v>
      </c>
      <c r="CC308" s="9" t="s">
        <v>70</v>
      </c>
      <c r="CD308" s="12" t="s">
        <v>137</v>
      </c>
      <c r="CE308" s="77" t="s">
        <v>1409</v>
      </c>
      <c r="CF308" s="244" t="s">
        <v>1658</v>
      </c>
      <c r="CG308" s="42" t="s">
        <v>1436</v>
      </c>
    </row>
    <row r="309" spans="7:85" x14ac:dyDescent="0.3">
      <c r="G309" s="12" t="s">
        <v>19</v>
      </c>
      <c r="H309" s="12" t="s">
        <v>341</v>
      </c>
      <c r="I309" s="12" t="s">
        <v>904</v>
      </c>
      <c r="J309" s="129" t="str">
        <f t="shared" si="26"/>
        <v>Satin Natural w/Inlay</v>
      </c>
      <c r="K309" s="129"/>
      <c r="L309" s="129"/>
      <c r="AO309" s="14" t="s">
        <v>561</v>
      </c>
      <c r="AP309" s="12" t="s">
        <v>93</v>
      </c>
      <c r="AQ309" s="14" t="s">
        <v>22</v>
      </c>
      <c r="AR309" s="12" t="s">
        <v>952</v>
      </c>
      <c r="AS309" s="129" t="s">
        <v>1342</v>
      </c>
      <c r="BN309" s="154" t="str">
        <f t="shared" si="23"/>
        <v>LT</v>
      </c>
      <c r="BO309" s="12" t="s">
        <v>137</v>
      </c>
      <c r="BP309" s="16" t="s">
        <v>1409</v>
      </c>
      <c r="BQ309" s="244" t="str">
        <f t="shared" si="24"/>
        <v>{[7_10T]:[G1CL]}</v>
      </c>
      <c r="BR309" s="42" t="str">
        <f t="shared" si="25"/>
        <v>Evans G1 Clear Batter</v>
      </c>
      <c r="CC309" s="9" t="s">
        <v>70</v>
      </c>
      <c r="CD309" s="12" t="s">
        <v>138</v>
      </c>
      <c r="CE309" s="77" t="s">
        <v>1409</v>
      </c>
      <c r="CF309" s="244" t="s">
        <v>1659</v>
      </c>
      <c r="CG309" s="42" t="s">
        <v>1436</v>
      </c>
    </row>
    <row r="310" spans="7:85" x14ac:dyDescent="0.3">
      <c r="G310" s="12" t="s">
        <v>19</v>
      </c>
      <c r="H310" s="12" t="s">
        <v>341</v>
      </c>
      <c r="I310" s="12" t="s">
        <v>26</v>
      </c>
      <c r="J310" s="129" t="str">
        <f t="shared" si="26"/>
        <v>Satin Sable</v>
      </c>
      <c r="K310" s="129"/>
      <c r="L310" s="129"/>
      <c r="AO310" s="14" t="s">
        <v>561</v>
      </c>
      <c r="AP310" s="12" t="s">
        <v>93</v>
      </c>
      <c r="AQ310" s="14" t="s">
        <v>22</v>
      </c>
      <c r="AR310" s="12" t="s">
        <v>948</v>
      </c>
      <c r="AS310" s="129" t="s">
        <v>1340</v>
      </c>
      <c r="BN310" s="154" t="str">
        <f t="shared" si="23"/>
        <v>LT</v>
      </c>
      <c r="BO310" s="12" t="s">
        <v>138</v>
      </c>
      <c r="BP310" s="16" t="s">
        <v>1409</v>
      </c>
      <c r="BQ310" s="244" t="str">
        <f t="shared" si="24"/>
        <v>{[7H_10T]:[G1CL]}</v>
      </c>
      <c r="BR310" s="42" t="str">
        <f t="shared" si="25"/>
        <v>Evans G1 Clear Batter</v>
      </c>
      <c r="CC310" s="9" t="s">
        <v>70</v>
      </c>
      <c r="CD310" s="12" t="s">
        <v>139</v>
      </c>
      <c r="CE310" s="77" t="s">
        <v>1409</v>
      </c>
      <c r="CF310" s="244" t="s">
        <v>1660</v>
      </c>
      <c r="CG310" s="42" t="s">
        <v>1436</v>
      </c>
    </row>
    <row r="311" spans="7:85" x14ac:dyDescent="0.3">
      <c r="G311" s="12" t="s">
        <v>19</v>
      </c>
      <c r="H311" s="12" t="s">
        <v>341</v>
      </c>
      <c r="I311" s="12" t="s">
        <v>914</v>
      </c>
      <c r="J311" s="129" t="str">
        <f t="shared" si="26"/>
        <v>Satin Sable w/Accent</v>
      </c>
      <c r="K311" s="129"/>
      <c r="L311" s="129"/>
      <c r="AO311" s="14" t="s">
        <v>561</v>
      </c>
      <c r="AP311" s="12" t="s">
        <v>93</v>
      </c>
      <c r="AQ311" s="14" t="s">
        <v>22</v>
      </c>
      <c r="AR311" s="12" t="s">
        <v>946</v>
      </c>
      <c r="AS311" s="129" t="s">
        <v>1339</v>
      </c>
      <c r="BN311" s="154" t="str">
        <f t="shared" si="23"/>
        <v>LT</v>
      </c>
      <c r="BO311" s="12" t="s">
        <v>139</v>
      </c>
      <c r="BP311" s="16" t="s">
        <v>1409</v>
      </c>
      <c r="BQ311" s="244" t="str">
        <f t="shared" si="24"/>
        <v>{[8_10T]:[G1CL]}</v>
      </c>
      <c r="BR311" s="42" t="str">
        <f t="shared" si="25"/>
        <v>Evans G1 Clear Batter</v>
      </c>
      <c r="CC311" s="9" t="s">
        <v>70</v>
      </c>
      <c r="CD311" s="12" t="s">
        <v>140</v>
      </c>
      <c r="CE311" s="77" t="s">
        <v>1409</v>
      </c>
      <c r="CF311" s="244" t="s">
        <v>1661</v>
      </c>
      <c r="CG311" s="42" t="s">
        <v>1436</v>
      </c>
    </row>
    <row r="312" spans="7:85" x14ac:dyDescent="0.3">
      <c r="G312" s="12" t="s">
        <v>19</v>
      </c>
      <c r="H312" s="12" t="s">
        <v>341</v>
      </c>
      <c r="I312" s="12" t="s">
        <v>321</v>
      </c>
      <c r="J312" s="129" t="str">
        <f t="shared" si="26"/>
        <v>Satin Natural</v>
      </c>
      <c r="K312" s="129"/>
      <c r="L312" s="129"/>
      <c r="AO312" s="14" t="s">
        <v>561</v>
      </c>
      <c r="AP312" s="12" t="s">
        <v>93</v>
      </c>
      <c r="AQ312" s="14" t="s">
        <v>22</v>
      </c>
      <c r="AR312" s="12" t="s">
        <v>950</v>
      </c>
      <c r="AS312" s="129" t="s">
        <v>1341</v>
      </c>
      <c r="BN312" s="154" t="str">
        <f t="shared" si="23"/>
        <v>LT</v>
      </c>
      <c r="BO312" s="12" t="s">
        <v>140</v>
      </c>
      <c r="BP312" s="16" t="s">
        <v>1409</v>
      </c>
      <c r="BQ312" s="244" t="str">
        <f t="shared" si="24"/>
        <v>{[9_10T]:[G1CL]}</v>
      </c>
      <c r="BR312" s="42" t="str">
        <f t="shared" si="25"/>
        <v>Evans G1 Clear Batter</v>
      </c>
      <c r="CC312" s="9" t="s">
        <v>70</v>
      </c>
      <c r="CD312" s="12" t="s">
        <v>141</v>
      </c>
      <c r="CE312" s="77" t="s">
        <v>1409</v>
      </c>
      <c r="CF312" s="244" t="s">
        <v>1662</v>
      </c>
      <c r="CG312" s="42" t="s">
        <v>1436</v>
      </c>
    </row>
    <row r="313" spans="7:85" x14ac:dyDescent="0.3">
      <c r="G313" s="12" t="s">
        <v>19</v>
      </c>
      <c r="H313" s="12" t="s">
        <v>341</v>
      </c>
      <c r="I313" s="12" t="s">
        <v>912</v>
      </c>
      <c r="J313" s="129" t="str">
        <f t="shared" si="26"/>
        <v>Satin Natural w/Accent</v>
      </c>
      <c r="K313" s="129"/>
      <c r="L313" s="129"/>
      <c r="AO313" s="14" t="s">
        <v>561</v>
      </c>
      <c r="AP313" s="12" t="s">
        <v>93</v>
      </c>
      <c r="AQ313" s="14" t="s">
        <v>22</v>
      </c>
      <c r="AR313" s="12" t="s">
        <v>954</v>
      </c>
      <c r="AS313" s="129" t="s">
        <v>1343</v>
      </c>
      <c r="BN313" s="154" t="str">
        <f t="shared" si="23"/>
        <v>LT</v>
      </c>
      <c r="BO313" s="12" t="s">
        <v>144</v>
      </c>
      <c r="BP313" s="16" t="s">
        <v>1409</v>
      </c>
      <c r="BQ313" s="244" t="str">
        <f t="shared" si="24"/>
        <v>{[10_12T]:[G1CL]}</v>
      </c>
      <c r="BR313" s="42" t="str">
        <f t="shared" si="25"/>
        <v>Evans G1 Clear Batter</v>
      </c>
      <c r="CC313" s="9" t="s">
        <v>70</v>
      </c>
      <c r="CD313" s="12" t="s">
        <v>143</v>
      </c>
      <c r="CE313" s="77" t="s">
        <v>1409</v>
      </c>
      <c r="CF313" s="244" t="s">
        <v>1663</v>
      </c>
      <c r="CG313" s="42" t="s">
        <v>1436</v>
      </c>
    </row>
    <row r="314" spans="7:85" x14ac:dyDescent="0.3">
      <c r="G314" s="12" t="s">
        <v>19</v>
      </c>
      <c r="H314" s="12" t="s">
        <v>341</v>
      </c>
      <c r="I314" s="12" t="s">
        <v>309</v>
      </c>
      <c r="J314" s="129" t="str">
        <f t="shared" si="26"/>
        <v>Natural Hoop</v>
      </c>
      <c r="K314" s="129"/>
      <c r="L314" s="129"/>
      <c r="AO314" s="14" t="s">
        <v>562</v>
      </c>
      <c r="AP314" s="14" t="s">
        <v>45</v>
      </c>
      <c r="AQ314" s="14" t="s">
        <v>518</v>
      </c>
      <c r="AR314" s="12" t="s">
        <v>946</v>
      </c>
      <c r="AS314" s="129" t="s">
        <v>1339</v>
      </c>
      <c r="BN314" s="154" t="str">
        <f t="shared" si="23"/>
        <v>LT</v>
      </c>
      <c r="BO314" s="12" t="s">
        <v>146</v>
      </c>
      <c r="BP314" s="16" t="s">
        <v>1409</v>
      </c>
      <c r="BQ314" s="244" t="str">
        <f t="shared" si="24"/>
        <v>{[11_12T]:[G1CL]}</v>
      </c>
      <c r="BR314" s="42" t="str">
        <f t="shared" si="25"/>
        <v>Evans G1 Clear Batter</v>
      </c>
      <c r="CC314" s="9" t="s">
        <v>70</v>
      </c>
      <c r="CD314" s="12" t="s">
        <v>144</v>
      </c>
      <c r="CE314" s="77" t="s">
        <v>1409</v>
      </c>
      <c r="CF314" s="244" t="s">
        <v>1664</v>
      </c>
      <c r="CG314" s="42" t="s">
        <v>1436</v>
      </c>
    </row>
    <row r="315" spans="7:85" x14ac:dyDescent="0.3">
      <c r="G315" s="12" t="s">
        <v>19</v>
      </c>
      <c r="H315" s="12" t="s">
        <v>341</v>
      </c>
      <c r="I315" s="12" t="s">
        <v>313</v>
      </c>
      <c r="J315" s="129" t="str">
        <f t="shared" si="26"/>
        <v>Sable Black</v>
      </c>
      <c r="K315" s="129"/>
      <c r="L315" s="129"/>
      <c r="AO315" s="14" t="s">
        <v>562</v>
      </c>
      <c r="AP315" s="12" t="s">
        <v>45</v>
      </c>
      <c r="AQ315" s="14" t="s">
        <v>518</v>
      </c>
      <c r="AR315" s="12" t="s">
        <v>950</v>
      </c>
      <c r="AS315" s="129" t="s">
        <v>1341</v>
      </c>
      <c r="BN315" s="154" t="str">
        <f t="shared" si="23"/>
        <v>LT</v>
      </c>
      <c r="BO315" s="12" t="s">
        <v>141</v>
      </c>
      <c r="BP315" s="16" t="s">
        <v>1409</v>
      </c>
      <c r="BQ315" s="244" t="str">
        <f t="shared" si="24"/>
        <v>{[8_12T]:[G1CL]}</v>
      </c>
      <c r="BR315" s="42" t="str">
        <f t="shared" si="25"/>
        <v>Evans G1 Clear Batter</v>
      </c>
      <c r="CC315" s="9" t="s">
        <v>70</v>
      </c>
      <c r="CD315" s="12" t="s">
        <v>146</v>
      </c>
      <c r="CE315" s="77" t="s">
        <v>1409</v>
      </c>
      <c r="CF315" s="244" t="s">
        <v>1665</v>
      </c>
      <c r="CG315" s="42" t="s">
        <v>1436</v>
      </c>
    </row>
    <row r="316" spans="7:85" x14ac:dyDescent="0.3">
      <c r="G316" s="12" t="s">
        <v>15</v>
      </c>
      <c r="H316" s="12" t="s">
        <v>343</v>
      </c>
      <c r="I316" s="12" t="s">
        <v>902</v>
      </c>
      <c r="J316" s="129" t="str">
        <f t="shared" si="26"/>
        <v>Satin Sable w/Inlay</v>
      </c>
      <c r="K316" s="129"/>
      <c r="L316" s="129"/>
      <c r="AO316" s="14" t="s">
        <v>562</v>
      </c>
      <c r="AP316" s="14" t="s">
        <v>45</v>
      </c>
      <c r="AQ316" s="14" t="s">
        <v>518</v>
      </c>
      <c r="AR316" s="12" t="s">
        <v>954</v>
      </c>
      <c r="AS316" s="129" t="s">
        <v>1343</v>
      </c>
      <c r="BN316" s="154" t="str">
        <f t="shared" si="23"/>
        <v>LT</v>
      </c>
      <c r="BO316" s="12" t="s">
        <v>143</v>
      </c>
      <c r="BP316" s="16" t="s">
        <v>1409</v>
      </c>
      <c r="BQ316" s="244" t="str">
        <f t="shared" si="24"/>
        <v>{[9_12T]:[G1CL]}</v>
      </c>
      <c r="BR316" s="42" t="str">
        <f t="shared" si="25"/>
        <v>Evans G1 Clear Batter</v>
      </c>
      <c r="CC316" s="9" t="s">
        <v>70</v>
      </c>
      <c r="CD316" s="12" t="s">
        <v>147</v>
      </c>
      <c r="CE316" s="77" t="s">
        <v>1409</v>
      </c>
      <c r="CF316" s="244" t="s">
        <v>1666</v>
      </c>
      <c r="CG316" s="42" t="s">
        <v>1436</v>
      </c>
    </row>
    <row r="317" spans="7:85" x14ac:dyDescent="0.3">
      <c r="G317" s="12" t="s">
        <v>15</v>
      </c>
      <c r="H317" s="12" t="s">
        <v>343</v>
      </c>
      <c r="I317" s="12" t="s">
        <v>904</v>
      </c>
      <c r="J317" s="129" t="str">
        <f t="shared" si="26"/>
        <v>Satin Natural w/Inlay</v>
      </c>
      <c r="K317" s="129"/>
      <c r="L317" s="129"/>
      <c r="AO317" s="14" t="s">
        <v>562</v>
      </c>
      <c r="AP317" s="14" t="s">
        <v>45</v>
      </c>
      <c r="AQ317" s="14" t="s">
        <v>22</v>
      </c>
      <c r="AR317" s="12" t="s">
        <v>946</v>
      </c>
      <c r="AS317" s="129" t="s">
        <v>1339</v>
      </c>
      <c r="BN317" s="154" t="str">
        <f t="shared" si="23"/>
        <v>LT</v>
      </c>
      <c r="BO317" s="12" t="s">
        <v>148</v>
      </c>
      <c r="BP317" s="16" t="s">
        <v>1409</v>
      </c>
      <c r="BQ317" s="244" t="str">
        <f t="shared" si="24"/>
        <v>{[10_13T]:[G1CL]}</v>
      </c>
      <c r="BR317" s="42" t="str">
        <f t="shared" si="25"/>
        <v>Evans G1 Clear Batter</v>
      </c>
      <c r="CC317" s="9" t="s">
        <v>70</v>
      </c>
      <c r="CD317" s="12" t="s">
        <v>148</v>
      </c>
      <c r="CE317" s="77" t="s">
        <v>1409</v>
      </c>
      <c r="CF317" s="244" t="s">
        <v>1667</v>
      </c>
      <c r="CG317" s="42" t="s">
        <v>1436</v>
      </c>
    </row>
    <row r="318" spans="7:85" x14ac:dyDescent="0.3">
      <c r="G318" s="12" t="s">
        <v>15</v>
      </c>
      <c r="H318" s="12" t="s">
        <v>343</v>
      </c>
      <c r="I318" s="12" t="s">
        <v>26</v>
      </c>
      <c r="J318" s="129" t="str">
        <f t="shared" si="26"/>
        <v>Satin Sable</v>
      </c>
      <c r="K318" s="129"/>
      <c r="L318" s="129"/>
      <c r="AO318" s="14" t="s">
        <v>562</v>
      </c>
      <c r="AP318" s="12" t="s">
        <v>45</v>
      </c>
      <c r="AQ318" s="14" t="s">
        <v>22</v>
      </c>
      <c r="AR318" s="12" t="s">
        <v>950</v>
      </c>
      <c r="AS318" s="129" t="s">
        <v>1341</v>
      </c>
      <c r="BN318" s="154" t="str">
        <f t="shared" si="23"/>
        <v>LT</v>
      </c>
      <c r="BO318" s="12" t="s">
        <v>149</v>
      </c>
      <c r="BP318" s="16" t="s">
        <v>1409</v>
      </c>
      <c r="BQ318" s="244" t="str">
        <f t="shared" si="24"/>
        <v>{[11_13T]:[G1CL]}</v>
      </c>
      <c r="BR318" s="42" t="str">
        <f t="shared" si="25"/>
        <v>Evans G1 Clear Batter</v>
      </c>
      <c r="CC318" s="9" t="s">
        <v>70</v>
      </c>
      <c r="CD318" s="12" t="s">
        <v>149</v>
      </c>
      <c r="CE318" s="77" t="s">
        <v>1409</v>
      </c>
      <c r="CF318" s="244" t="s">
        <v>1668</v>
      </c>
      <c r="CG318" s="42" t="s">
        <v>1436</v>
      </c>
    </row>
    <row r="319" spans="7:85" x14ac:dyDescent="0.3">
      <c r="G319" s="12" t="s">
        <v>15</v>
      </c>
      <c r="H319" s="12" t="s">
        <v>343</v>
      </c>
      <c r="I319" s="12" t="s">
        <v>914</v>
      </c>
      <c r="J319" s="129" t="str">
        <f t="shared" si="26"/>
        <v>Satin Sable w/Accent</v>
      </c>
      <c r="K319" s="129"/>
      <c r="L319" s="129"/>
      <c r="AO319" s="14" t="s">
        <v>562</v>
      </c>
      <c r="AP319" s="14" t="s">
        <v>45</v>
      </c>
      <c r="AQ319" s="14" t="s">
        <v>22</v>
      </c>
      <c r="AR319" s="12" t="s">
        <v>954</v>
      </c>
      <c r="AS319" s="129" t="s">
        <v>1343</v>
      </c>
      <c r="BN319" s="154" t="str">
        <f t="shared" si="23"/>
        <v>LT</v>
      </c>
      <c r="BO319" s="12" t="s">
        <v>150</v>
      </c>
      <c r="BP319" s="16" t="s">
        <v>1409</v>
      </c>
      <c r="BQ319" s="244" t="str">
        <f t="shared" si="24"/>
        <v>{[12_13T]:[G1CL]}</v>
      </c>
      <c r="BR319" s="42" t="str">
        <f t="shared" si="25"/>
        <v>Evans G1 Clear Batter</v>
      </c>
      <c r="CC319" s="9" t="s">
        <v>70</v>
      </c>
      <c r="CD319" s="12" t="s">
        <v>150</v>
      </c>
      <c r="CE319" s="77" t="s">
        <v>1409</v>
      </c>
      <c r="CF319" s="244" t="s">
        <v>1669</v>
      </c>
      <c r="CG319" s="42" t="s">
        <v>1436</v>
      </c>
    </row>
    <row r="320" spans="7:85" x14ac:dyDescent="0.3">
      <c r="G320" s="12" t="s">
        <v>15</v>
      </c>
      <c r="H320" s="12" t="s">
        <v>343</v>
      </c>
      <c r="I320" s="12" t="s">
        <v>321</v>
      </c>
      <c r="J320" s="129" t="str">
        <f t="shared" si="26"/>
        <v>Satin Natural</v>
      </c>
      <c r="K320" s="129"/>
      <c r="L320" s="129"/>
      <c r="AO320" s="14" t="s">
        <v>562</v>
      </c>
      <c r="AP320" s="12" t="s">
        <v>54</v>
      </c>
      <c r="AQ320" s="14" t="s">
        <v>518</v>
      </c>
      <c r="AR320" s="12" t="s">
        <v>946</v>
      </c>
      <c r="AS320" s="129" t="s">
        <v>1339</v>
      </c>
      <c r="BN320" s="154" t="str">
        <f t="shared" si="23"/>
        <v>LT</v>
      </c>
      <c r="BO320" s="12" t="s">
        <v>147</v>
      </c>
      <c r="BP320" s="16" t="s">
        <v>1409</v>
      </c>
      <c r="BQ320" s="244" t="str">
        <f t="shared" si="24"/>
        <v>{[9_13T]:[G1CL]}</v>
      </c>
      <c r="BR320" s="42" t="str">
        <f t="shared" si="25"/>
        <v>Evans G1 Clear Batter</v>
      </c>
      <c r="CC320" s="9" t="s">
        <v>70</v>
      </c>
      <c r="CD320" s="12" t="s">
        <v>151</v>
      </c>
      <c r="CE320" s="77" t="s">
        <v>1409</v>
      </c>
      <c r="CF320" s="244" t="s">
        <v>1670</v>
      </c>
      <c r="CG320" s="42" t="s">
        <v>1436</v>
      </c>
    </row>
    <row r="321" spans="7:85" x14ac:dyDescent="0.3">
      <c r="G321" s="12" t="s">
        <v>15</v>
      </c>
      <c r="H321" s="12" t="s">
        <v>343</v>
      </c>
      <c r="I321" s="12" t="s">
        <v>912</v>
      </c>
      <c r="J321" s="129" t="str">
        <f t="shared" si="26"/>
        <v>Satin Natural w/Accent</v>
      </c>
      <c r="K321" s="129"/>
      <c r="L321" s="129"/>
      <c r="AO321" s="14" t="s">
        <v>562</v>
      </c>
      <c r="AP321" s="12" t="s">
        <v>54</v>
      </c>
      <c r="AQ321" s="14" t="s">
        <v>518</v>
      </c>
      <c r="AR321" s="12" t="s">
        <v>950</v>
      </c>
      <c r="AS321" s="129" t="s">
        <v>1341</v>
      </c>
      <c r="BN321" s="154" t="str">
        <f t="shared" si="23"/>
        <v>LT</v>
      </c>
      <c r="BO321" s="12" t="s">
        <v>157</v>
      </c>
      <c r="BP321" s="16" t="s">
        <v>1409</v>
      </c>
      <c r="BQ321" s="244" t="str">
        <f t="shared" si="24"/>
        <v>{[10_14T]:[G1CL]}</v>
      </c>
      <c r="BR321" s="42" t="str">
        <f t="shared" si="25"/>
        <v>Evans G1 Clear Batter</v>
      </c>
      <c r="CC321" s="9" t="s">
        <v>70</v>
      </c>
      <c r="CD321" s="12" t="s">
        <v>157</v>
      </c>
      <c r="CE321" s="77" t="s">
        <v>1409</v>
      </c>
      <c r="CF321" s="244" t="s">
        <v>1671</v>
      </c>
      <c r="CG321" s="42" t="s">
        <v>1436</v>
      </c>
    </row>
    <row r="322" spans="7:85" x14ac:dyDescent="0.3">
      <c r="G322" s="12" t="s">
        <v>15</v>
      </c>
      <c r="H322" s="12" t="s">
        <v>343</v>
      </c>
      <c r="I322" s="12" t="s">
        <v>309</v>
      </c>
      <c r="J322" s="129" t="str">
        <f t="shared" si="26"/>
        <v>Natural Hoop</v>
      </c>
      <c r="K322" s="129"/>
      <c r="L322" s="129"/>
      <c r="AO322" s="14" t="s">
        <v>562</v>
      </c>
      <c r="AP322" s="12" t="s">
        <v>54</v>
      </c>
      <c r="AQ322" s="14" t="s">
        <v>518</v>
      </c>
      <c r="AR322" s="12" t="s">
        <v>954</v>
      </c>
      <c r="AS322" s="129" t="s">
        <v>1343</v>
      </c>
      <c r="BN322" s="154" t="str">
        <f t="shared" si="23"/>
        <v>LT</v>
      </c>
      <c r="BO322" s="12" t="s">
        <v>163</v>
      </c>
      <c r="BP322" s="16" t="s">
        <v>1409</v>
      </c>
      <c r="BQ322" s="244" t="str">
        <f t="shared" si="24"/>
        <v>{[11_14T]:[G1CL]}</v>
      </c>
      <c r="BR322" s="42" t="str">
        <f t="shared" si="25"/>
        <v>Evans G1 Clear Batter</v>
      </c>
      <c r="CC322" s="9" t="s">
        <v>70</v>
      </c>
      <c r="CD322" s="12" t="s">
        <v>163</v>
      </c>
      <c r="CE322" s="77" t="s">
        <v>1409</v>
      </c>
      <c r="CF322" s="244" t="s">
        <v>1672</v>
      </c>
      <c r="CG322" s="42" t="s">
        <v>1436</v>
      </c>
    </row>
    <row r="323" spans="7:85" x14ac:dyDescent="0.3">
      <c r="G323" s="12" t="s">
        <v>15</v>
      </c>
      <c r="H323" s="12" t="s">
        <v>343</v>
      </c>
      <c r="I323" s="12" t="s">
        <v>907</v>
      </c>
      <c r="J323" s="129" t="str">
        <f t="shared" si="26"/>
        <v>Natural w/Inlay</v>
      </c>
      <c r="K323" s="129"/>
      <c r="L323" s="129"/>
      <c r="AO323" s="14" t="s">
        <v>562</v>
      </c>
      <c r="AP323" s="12" t="s">
        <v>54</v>
      </c>
      <c r="AQ323" s="14" t="s">
        <v>22</v>
      </c>
      <c r="AR323" s="12" t="s">
        <v>946</v>
      </c>
      <c r="AS323" s="129" t="s">
        <v>1339</v>
      </c>
      <c r="BN323" s="154" t="str">
        <f t="shared" si="23"/>
        <v>LF</v>
      </c>
      <c r="BO323" s="12" t="s">
        <v>110</v>
      </c>
      <c r="BP323" s="16" t="s">
        <v>1409</v>
      </c>
      <c r="BQ323" s="244" t="str">
        <f t="shared" si="24"/>
        <v>{[12_14F]:[G1CL]}</v>
      </c>
      <c r="BR323" s="42" t="str">
        <f t="shared" si="25"/>
        <v>Evans G1 Clear Batter</v>
      </c>
      <c r="CC323" s="9" t="s">
        <v>70</v>
      </c>
      <c r="CD323" s="12" t="s">
        <v>169</v>
      </c>
      <c r="CE323" s="77" t="s">
        <v>1409</v>
      </c>
      <c r="CF323" s="244" t="s">
        <v>1673</v>
      </c>
      <c r="CG323" s="42" t="s">
        <v>1436</v>
      </c>
    </row>
    <row r="324" spans="7:85" x14ac:dyDescent="0.3">
      <c r="G324" s="12" t="s">
        <v>15</v>
      </c>
      <c r="H324" s="12" t="s">
        <v>343</v>
      </c>
      <c r="I324" s="12" t="s">
        <v>909</v>
      </c>
      <c r="J324" s="129" t="str">
        <f t="shared" si="26"/>
        <v>Natural w/Accent</v>
      </c>
      <c r="K324" s="129"/>
      <c r="L324" s="129"/>
      <c r="AO324" s="14" t="s">
        <v>562</v>
      </c>
      <c r="AP324" s="12" t="s">
        <v>54</v>
      </c>
      <c r="AQ324" s="14" t="s">
        <v>22</v>
      </c>
      <c r="AR324" s="12" t="s">
        <v>950</v>
      </c>
      <c r="AS324" s="129" t="s">
        <v>1341</v>
      </c>
      <c r="BN324" s="154" t="str">
        <f t="shared" ref="BN324:BN386" si="27">CONCATENATE("L",RIGHT(BO324,1))</f>
        <v>LT</v>
      </c>
      <c r="BO324" s="12" t="s">
        <v>169</v>
      </c>
      <c r="BP324" s="16" t="s">
        <v>1409</v>
      </c>
      <c r="BQ324" s="244" t="str">
        <f t="shared" ref="BQ324:BQ386" si="28">CONCATENATE("{[",BO324,"]:[",BP324,"]}")</f>
        <v>{[12_14T]:[G1CL]}</v>
      </c>
      <c r="BR324" s="42" t="str">
        <f t="shared" si="25"/>
        <v>Evans G1 Clear Batter</v>
      </c>
      <c r="CC324" s="9" t="s">
        <v>70</v>
      </c>
      <c r="CD324" s="12" t="s">
        <v>175</v>
      </c>
      <c r="CE324" s="77" t="s">
        <v>1409</v>
      </c>
      <c r="CF324" s="244" t="s">
        <v>1674</v>
      </c>
      <c r="CG324" s="42" t="s">
        <v>1436</v>
      </c>
    </row>
    <row r="325" spans="7:85" x14ac:dyDescent="0.3">
      <c r="G325" s="12" t="s">
        <v>15</v>
      </c>
      <c r="H325" s="12" t="s">
        <v>343</v>
      </c>
      <c r="I325" s="12" t="s">
        <v>313</v>
      </c>
      <c r="J325" s="129" t="str">
        <f t="shared" si="26"/>
        <v>Sable Black</v>
      </c>
      <c r="K325" s="129"/>
      <c r="L325" s="129"/>
      <c r="AO325" s="14" t="s">
        <v>562</v>
      </c>
      <c r="AP325" s="12" t="s">
        <v>54</v>
      </c>
      <c r="AQ325" s="14" t="s">
        <v>22</v>
      </c>
      <c r="AR325" s="12" t="s">
        <v>954</v>
      </c>
      <c r="AS325" s="129" t="s">
        <v>1343</v>
      </c>
      <c r="BN325" s="154" t="str">
        <f t="shared" si="27"/>
        <v>LF</v>
      </c>
      <c r="BO325" s="12" t="s">
        <v>113</v>
      </c>
      <c r="BP325" s="16" t="s">
        <v>1409</v>
      </c>
      <c r="BQ325" s="244" t="str">
        <f t="shared" si="28"/>
        <v>{[13_14F]:[G1CL]}</v>
      </c>
      <c r="BR325" s="42" t="str">
        <f t="shared" ref="BR325:BR386" si="29">VLOOKUP(BP325,$BJ$4:$BK$13,2,FALSE)</f>
        <v>Evans G1 Clear Batter</v>
      </c>
      <c r="CC325" s="9" t="s">
        <v>70</v>
      </c>
      <c r="CD325" s="12" t="s">
        <v>176</v>
      </c>
      <c r="CE325" s="77" t="s">
        <v>1409</v>
      </c>
      <c r="CF325" s="244" t="s">
        <v>1675</v>
      </c>
      <c r="CG325" s="42" t="s">
        <v>1436</v>
      </c>
    </row>
    <row r="326" spans="7:85" x14ac:dyDescent="0.3">
      <c r="G326" s="12" t="s">
        <v>16</v>
      </c>
      <c r="H326" s="12" t="s">
        <v>343</v>
      </c>
      <c r="I326" s="12" t="s">
        <v>902</v>
      </c>
      <c r="J326" s="129" t="str">
        <f t="shared" si="26"/>
        <v>Satin Sable w/Inlay</v>
      </c>
      <c r="K326" s="129"/>
      <c r="L326" s="129"/>
      <c r="AO326" s="14" t="s">
        <v>562</v>
      </c>
      <c r="AP326" s="12" t="s">
        <v>67</v>
      </c>
      <c r="AQ326" s="14" t="s">
        <v>518</v>
      </c>
      <c r="AR326" s="12" t="s">
        <v>948</v>
      </c>
      <c r="AS326" s="129" t="s">
        <v>1340</v>
      </c>
      <c r="BN326" s="154" t="str">
        <f t="shared" si="27"/>
        <v>LT</v>
      </c>
      <c r="BO326" s="12" t="s">
        <v>175</v>
      </c>
      <c r="BP326" s="16" t="s">
        <v>1409</v>
      </c>
      <c r="BQ326" s="244" t="str">
        <f t="shared" si="28"/>
        <v>{[13_14T]:[G1CL]}</v>
      </c>
      <c r="BR326" s="42" t="str">
        <f t="shared" si="29"/>
        <v>Evans G1 Clear Batter</v>
      </c>
      <c r="CC326" s="9" t="s">
        <v>70</v>
      </c>
      <c r="CD326" s="12" t="s">
        <v>178</v>
      </c>
      <c r="CE326" s="77" t="s">
        <v>1409</v>
      </c>
      <c r="CF326" s="244" t="s">
        <v>1676</v>
      </c>
      <c r="CG326" s="42" t="s">
        <v>1436</v>
      </c>
    </row>
    <row r="327" spans="7:85" x14ac:dyDescent="0.3">
      <c r="G327" s="12" t="s">
        <v>16</v>
      </c>
      <c r="H327" s="12" t="s">
        <v>343</v>
      </c>
      <c r="I327" s="12" t="s">
        <v>904</v>
      </c>
      <c r="J327" s="129" t="str">
        <f t="shared" si="26"/>
        <v>Satin Natural w/Inlay</v>
      </c>
      <c r="K327" s="129"/>
      <c r="L327" s="129"/>
      <c r="AO327" s="14" t="s">
        <v>562</v>
      </c>
      <c r="AP327" s="12" t="s">
        <v>67</v>
      </c>
      <c r="AQ327" s="14" t="s">
        <v>518</v>
      </c>
      <c r="AR327" s="12" t="s">
        <v>946</v>
      </c>
      <c r="AS327" s="129" t="s">
        <v>1339</v>
      </c>
      <c r="BN327" s="154" t="str">
        <f t="shared" si="27"/>
        <v>LF</v>
      </c>
      <c r="BO327" s="12" t="s">
        <v>116</v>
      </c>
      <c r="BP327" s="16" t="s">
        <v>1409</v>
      </c>
      <c r="BQ327" s="244" t="str">
        <f t="shared" si="28"/>
        <v>{[14_14F]:[G1CL]}</v>
      </c>
      <c r="BR327" s="42" t="str">
        <f t="shared" si="29"/>
        <v>Evans G1 Clear Batter</v>
      </c>
      <c r="CC327" s="9" t="s">
        <v>70</v>
      </c>
      <c r="CD327" s="12" t="s">
        <v>179</v>
      </c>
      <c r="CE327" s="77" t="s">
        <v>1409</v>
      </c>
      <c r="CF327" s="244" t="s">
        <v>1677</v>
      </c>
      <c r="CG327" s="42" t="s">
        <v>1436</v>
      </c>
    </row>
    <row r="328" spans="7:85" x14ac:dyDescent="0.3">
      <c r="G328" s="12" t="s">
        <v>16</v>
      </c>
      <c r="H328" s="12" t="s">
        <v>343</v>
      </c>
      <c r="I328" s="12" t="s">
        <v>26</v>
      </c>
      <c r="J328" s="129" t="str">
        <f t="shared" si="26"/>
        <v>Satin Sable</v>
      </c>
      <c r="K328" s="129"/>
      <c r="L328" s="129"/>
      <c r="AO328" s="14" t="s">
        <v>562</v>
      </c>
      <c r="AP328" s="12" t="s">
        <v>67</v>
      </c>
      <c r="AQ328" s="14" t="s">
        <v>518</v>
      </c>
      <c r="AR328" s="12" t="s">
        <v>950</v>
      </c>
      <c r="AS328" s="129" t="s">
        <v>1341</v>
      </c>
      <c r="BN328" s="154" t="str">
        <f t="shared" si="27"/>
        <v>LT</v>
      </c>
      <c r="BO328" s="12" t="s">
        <v>176</v>
      </c>
      <c r="BP328" s="16" t="s">
        <v>1409</v>
      </c>
      <c r="BQ328" s="244" t="str">
        <f t="shared" si="28"/>
        <v>{[14_14T]:[G1CL]}</v>
      </c>
      <c r="BR328" s="42" t="str">
        <f t="shared" si="29"/>
        <v>Evans G1 Clear Batter</v>
      </c>
      <c r="CC328" s="9" t="s">
        <v>70</v>
      </c>
      <c r="CD328" s="12" t="s">
        <v>180</v>
      </c>
      <c r="CE328" s="77" t="s">
        <v>1409</v>
      </c>
      <c r="CF328" s="244" t="s">
        <v>1678</v>
      </c>
      <c r="CG328" s="42" t="s">
        <v>1436</v>
      </c>
    </row>
    <row r="329" spans="7:85" x14ac:dyDescent="0.3">
      <c r="G329" s="12" t="s">
        <v>16</v>
      </c>
      <c r="H329" s="12" t="s">
        <v>343</v>
      </c>
      <c r="I329" s="12" t="s">
        <v>914</v>
      </c>
      <c r="J329" s="129" t="str">
        <f t="shared" si="26"/>
        <v>Satin Sable w/Accent</v>
      </c>
      <c r="K329" s="129"/>
      <c r="L329" s="129"/>
      <c r="AO329" s="14" t="s">
        <v>562</v>
      </c>
      <c r="AP329" s="12" t="s">
        <v>67</v>
      </c>
      <c r="AQ329" s="14" t="s">
        <v>518</v>
      </c>
      <c r="AR329" s="12" t="s">
        <v>954</v>
      </c>
      <c r="AS329" s="129" t="s">
        <v>1343</v>
      </c>
      <c r="BN329" s="154" t="str">
        <f t="shared" si="27"/>
        <v>LT</v>
      </c>
      <c r="BO329" s="12" t="s">
        <v>151</v>
      </c>
      <c r="BP329" s="16" t="s">
        <v>1409</v>
      </c>
      <c r="BQ329" s="244" t="str">
        <f t="shared" si="28"/>
        <v>{[9_14T]:[G1CL]}</v>
      </c>
      <c r="BR329" s="42" t="str">
        <f t="shared" si="29"/>
        <v>Evans G1 Clear Batter</v>
      </c>
      <c r="CC329" s="9" t="s">
        <v>70</v>
      </c>
      <c r="CD329" s="12" t="s">
        <v>181</v>
      </c>
      <c r="CE329" s="77" t="s">
        <v>1409</v>
      </c>
      <c r="CF329" s="244" t="s">
        <v>1679</v>
      </c>
      <c r="CG329" s="42" t="s">
        <v>1436</v>
      </c>
    </row>
    <row r="330" spans="7:85" x14ac:dyDescent="0.3">
      <c r="G330" s="12" t="s">
        <v>16</v>
      </c>
      <c r="H330" s="12" t="s">
        <v>343</v>
      </c>
      <c r="I330" s="12" t="s">
        <v>321</v>
      </c>
      <c r="J330" s="129" t="str">
        <f t="shared" si="26"/>
        <v>Satin Natural</v>
      </c>
      <c r="K330" s="129"/>
      <c r="L330" s="129"/>
      <c r="AO330" s="14" t="s">
        <v>562</v>
      </c>
      <c r="AP330" s="12" t="s">
        <v>67</v>
      </c>
      <c r="AQ330" s="14" t="s">
        <v>22</v>
      </c>
      <c r="AR330" s="12" t="s">
        <v>948</v>
      </c>
      <c r="AS330" s="129" t="s">
        <v>1340</v>
      </c>
      <c r="BN330" s="154" t="str">
        <f t="shared" si="27"/>
        <v>LT</v>
      </c>
      <c r="BO330" s="12" t="s">
        <v>178</v>
      </c>
      <c r="BP330" s="16" t="s">
        <v>1409</v>
      </c>
      <c r="BQ330" s="244" t="str">
        <f t="shared" si="28"/>
        <v>{[12_15T]:[G1CL]}</v>
      </c>
      <c r="BR330" s="42" t="str">
        <f t="shared" si="29"/>
        <v>Evans G1 Clear Batter</v>
      </c>
      <c r="CC330" s="9" t="s">
        <v>70</v>
      </c>
      <c r="CD330" s="12" t="s">
        <v>182</v>
      </c>
      <c r="CE330" s="77" t="s">
        <v>1409</v>
      </c>
      <c r="CF330" s="244" t="s">
        <v>1680</v>
      </c>
      <c r="CG330" s="42" t="s">
        <v>1436</v>
      </c>
    </row>
    <row r="331" spans="7:85" x14ac:dyDescent="0.3">
      <c r="G331" s="12" t="s">
        <v>16</v>
      </c>
      <c r="H331" s="12" t="s">
        <v>343</v>
      </c>
      <c r="I331" s="12" t="s">
        <v>912</v>
      </c>
      <c r="J331" s="129" t="str">
        <f t="shared" si="26"/>
        <v>Satin Natural w/Accent</v>
      </c>
      <c r="K331" s="129"/>
      <c r="L331" s="129"/>
      <c r="AO331" s="14" t="s">
        <v>562</v>
      </c>
      <c r="AP331" s="12" t="s">
        <v>67</v>
      </c>
      <c r="AQ331" s="14" t="s">
        <v>22</v>
      </c>
      <c r="AR331" s="12" t="s">
        <v>946</v>
      </c>
      <c r="AS331" s="129" t="s">
        <v>1339</v>
      </c>
      <c r="BN331" s="154" t="str">
        <f t="shared" si="27"/>
        <v>LF</v>
      </c>
      <c r="BO331" s="12" t="s">
        <v>118</v>
      </c>
      <c r="BP331" s="16" t="s">
        <v>1409</v>
      </c>
      <c r="BQ331" s="244" t="str">
        <f t="shared" si="28"/>
        <v>{[13_15F]:[G1CL]}</v>
      </c>
      <c r="BR331" s="42" t="str">
        <f t="shared" si="29"/>
        <v>Evans G1 Clear Batter</v>
      </c>
      <c r="CC331" s="9" t="s">
        <v>70</v>
      </c>
      <c r="CD331" s="12" t="s">
        <v>183</v>
      </c>
      <c r="CE331" s="77" t="s">
        <v>1409</v>
      </c>
      <c r="CF331" s="244" t="s">
        <v>1681</v>
      </c>
      <c r="CG331" s="42" t="s">
        <v>1436</v>
      </c>
    </row>
    <row r="332" spans="7:85" x14ac:dyDescent="0.3">
      <c r="G332" s="12" t="s">
        <v>16</v>
      </c>
      <c r="H332" s="12" t="s">
        <v>343</v>
      </c>
      <c r="I332" s="12" t="s">
        <v>309</v>
      </c>
      <c r="J332" s="129" t="str">
        <f t="shared" si="26"/>
        <v>Natural Hoop</v>
      </c>
      <c r="K332" s="129"/>
      <c r="L332" s="129"/>
      <c r="AO332" s="14" t="s">
        <v>562</v>
      </c>
      <c r="AP332" s="12" t="s">
        <v>67</v>
      </c>
      <c r="AQ332" s="14" t="s">
        <v>22</v>
      </c>
      <c r="AR332" s="12" t="s">
        <v>950</v>
      </c>
      <c r="AS332" s="129" t="s">
        <v>1341</v>
      </c>
      <c r="BN332" s="154" t="str">
        <f t="shared" si="27"/>
        <v>LT</v>
      </c>
      <c r="BO332" s="12" t="s">
        <v>179</v>
      </c>
      <c r="BP332" s="16" t="s">
        <v>1409</v>
      </c>
      <c r="BQ332" s="244" t="str">
        <f t="shared" si="28"/>
        <v>{[13_15T]:[G1CL]}</v>
      </c>
      <c r="BR332" s="42" t="str">
        <f t="shared" si="29"/>
        <v>Evans G1 Clear Batter</v>
      </c>
      <c r="CC332" s="9" t="s">
        <v>70</v>
      </c>
      <c r="CD332" s="12" t="s">
        <v>184</v>
      </c>
      <c r="CE332" s="77" t="s">
        <v>1409</v>
      </c>
      <c r="CF332" s="244" t="s">
        <v>1682</v>
      </c>
      <c r="CG332" s="42" t="s">
        <v>1436</v>
      </c>
    </row>
    <row r="333" spans="7:85" x14ac:dyDescent="0.3">
      <c r="G333" s="12" t="s">
        <v>16</v>
      </c>
      <c r="H333" s="12" t="s">
        <v>343</v>
      </c>
      <c r="I333" s="12" t="s">
        <v>907</v>
      </c>
      <c r="J333" s="129" t="str">
        <f t="shared" si="26"/>
        <v>Natural w/Inlay</v>
      </c>
      <c r="K333" s="129"/>
      <c r="L333" s="129"/>
      <c r="AO333" s="14" t="s">
        <v>562</v>
      </c>
      <c r="AP333" s="12" t="s">
        <v>67</v>
      </c>
      <c r="AQ333" s="14" t="s">
        <v>22</v>
      </c>
      <c r="AR333" s="12" t="s">
        <v>954</v>
      </c>
      <c r="AS333" s="129" t="s">
        <v>1343</v>
      </c>
      <c r="BN333" s="154" t="str">
        <f t="shared" si="27"/>
        <v>LF</v>
      </c>
      <c r="BO333" s="12" t="s">
        <v>122</v>
      </c>
      <c r="BP333" s="16" t="s">
        <v>1409</v>
      </c>
      <c r="BQ333" s="244" t="str">
        <f t="shared" si="28"/>
        <v>{[14_15F]:[G1CL]}</v>
      </c>
      <c r="BR333" s="42" t="str">
        <f t="shared" si="29"/>
        <v>Evans G1 Clear Batter</v>
      </c>
      <c r="CC333" s="9" t="s">
        <v>70</v>
      </c>
      <c r="CD333" s="12" t="s">
        <v>205</v>
      </c>
      <c r="CE333" s="77" t="s">
        <v>1409</v>
      </c>
      <c r="CF333" s="244" t="s">
        <v>1683</v>
      </c>
      <c r="CG333" s="42" t="s">
        <v>1436</v>
      </c>
    </row>
    <row r="334" spans="7:85" x14ac:dyDescent="0.3">
      <c r="G334" s="12" t="s">
        <v>16</v>
      </c>
      <c r="H334" s="12" t="s">
        <v>343</v>
      </c>
      <c r="I334" s="12" t="s">
        <v>909</v>
      </c>
      <c r="J334" s="129" t="str">
        <f t="shared" si="26"/>
        <v>Natural w/Accent</v>
      </c>
      <c r="K334" s="129"/>
      <c r="L334" s="129"/>
      <c r="AO334" s="14" t="s">
        <v>562</v>
      </c>
      <c r="AP334" s="12" t="s">
        <v>83</v>
      </c>
      <c r="AQ334" s="14" t="s">
        <v>518</v>
      </c>
      <c r="AR334" s="12" t="s">
        <v>948</v>
      </c>
      <c r="AS334" s="129" t="s">
        <v>1340</v>
      </c>
      <c r="BN334" s="154" t="str">
        <f t="shared" si="27"/>
        <v>LT</v>
      </c>
      <c r="BO334" s="12" t="s">
        <v>180</v>
      </c>
      <c r="BP334" s="16" t="s">
        <v>1409</v>
      </c>
      <c r="BQ334" s="244" t="str">
        <f t="shared" si="28"/>
        <v>{[14_15T]:[G1CL]}</v>
      </c>
      <c r="BR334" s="42" t="str">
        <f t="shared" si="29"/>
        <v>Evans G1 Clear Batter</v>
      </c>
      <c r="CC334" s="12" t="s">
        <v>56</v>
      </c>
      <c r="CD334" s="12" t="s">
        <v>110</v>
      </c>
      <c r="CE334" s="77" t="s">
        <v>1409</v>
      </c>
      <c r="CF334" s="244" t="s">
        <v>1684</v>
      </c>
      <c r="CG334" s="42" t="s">
        <v>1436</v>
      </c>
    </row>
    <row r="335" spans="7:85" x14ac:dyDescent="0.3">
      <c r="G335" s="12" t="s">
        <v>16</v>
      </c>
      <c r="H335" s="12" t="s">
        <v>343</v>
      </c>
      <c r="I335" s="12" t="s">
        <v>313</v>
      </c>
      <c r="J335" s="129" t="str">
        <f t="shared" si="26"/>
        <v>Sable Black</v>
      </c>
      <c r="K335" s="129"/>
      <c r="L335" s="129"/>
      <c r="AO335" s="14" t="s">
        <v>562</v>
      </c>
      <c r="AP335" s="12" t="s">
        <v>83</v>
      </c>
      <c r="AQ335" s="14" t="s">
        <v>518</v>
      </c>
      <c r="AR335" s="12" t="s">
        <v>946</v>
      </c>
      <c r="AS335" s="129" t="s">
        <v>1339</v>
      </c>
      <c r="BN335" s="154" t="str">
        <f t="shared" si="27"/>
        <v>LF</v>
      </c>
      <c r="BO335" s="12" t="s">
        <v>125</v>
      </c>
      <c r="BP335" s="16" t="s">
        <v>1409</v>
      </c>
      <c r="BQ335" s="244" t="str">
        <f t="shared" si="28"/>
        <v>{[13_16F]:[G1CL]}</v>
      </c>
      <c r="BR335" s="42" t="str">
        <f t="shared" si="29"/>
        <v>Evans G1 Clear Batter</v>
      </c>
      <c r="CC335" s="12" t="s">
        <v>56</v>
      </c>
      <c r="CD335" s="12" t="s">
        <v>113</v>
      </c>
      <c r="CE335" s="77" t="s">
        <v>1409</v>
      </c>
      <c r="CF335" s="244" t="s">
        <v>1685</v>
      </c>
      <c r="CG335" s="42" t="s">
        <v>1436</v>
      </c>
    </row>
    <row r="336" spans="7:85" x14ac:dyDescent="0.3">
      <c r="G336" s="12" t="s">
        <v>17</v>
      </c>
      <c r="H336" s="12" t="s">
        <v>343</v>
      </c>
      <c r="I336" s="12" t="s">
        <v>902</v>
      </c>
      <c r="J336" s="129" t="str">
        <f t="shared" si="26"/>
        <v>Satin Sable w/Inlay</v>
      </c>
      <c r="K336" s="129"/>
      <c r="L336" s="129"/>
      <c r="AO336" s="14" t="s">
        <v>562</v>
      </c>
      <c r="AP336" s="12" t="s">
        <v>83</v>
      </c>
      <c r="AQ336" s="14" t="s">
        <v>518</v>
      </c>
      <c r="AR336" s="12" t="s">
        <v>950</v>
      </c>
      <c r="AS336" s="129" t="s">
        <v>1341</v>
      </c>
      <c r="BN336" s="154" t="str">
        <f t="shared" si="27"/>
        <v>LT</v>
      </c>
      <c r="BO336" s="12" t="s">
        <v>181</v>
      </c>
      <c r="BP336" s="16" t="s">
        <v>1409</v>
      </c>
      <c r="BQ336" s="244" t="str">
        <f t="shared" si="28"/>
        <v>{[13_16T]:[G1CL]}</v>
      </c>
      <c r="BR336" s="42" t="str">
        <f t="shared" si="29"/>
        <v>Evans G1 Clear Batter</v>
      </c>
      <c r="CC336" s="12" t="s">
        <v>56</v>
      </c>
      <c r="CD336" s="12" t="s">
        <v>116</v>
      </c>
      <c r="CE336" s="77" t="s">
        <v>1409</v>
      </c>
      <c r="CF336" s="244" t="s">
        <v>1686</v>
      </c>
      <c r="CG336" s="42" t="s">
        <v>1436</v>
      </c>
    </row>
    <row r="337" spans="7:85" x14ac:dyDescent="0.3">
      <c r="G337" s="12" t="s">
        <v>17</v>
      </c>
      <c r="H337" s="12" t="s">
        <v>343</v>
      </c>
      <c r="I337" s="12" t="s">
        <v>904</v>
      </c>
      <c r="J337" s="129" t="str">
        <f t="shared" si="26"/>
        <v>Satin Natural w/Inlay</v>
      </c>
      <c r="K337" s="129"/>
      <c r="L337" s="129"/>
      <c r="AO337" s="14" t="s">
        <v>562</v>
      </c>
      <c r="AP337" s="12" t="s">
        <v>83</v>
      </c>
      <c r="AQ337" s="14" t="s">
        <v>518</v>
      </c>
      <c r="AR337" s="12" t="s">
        <v>954</v>
      </c>
      <c r="AS337" s="129" t="s">
        <v>1343</v>
      </c>
      <c r="BN337" s="154" t="str">
        <f t="shared" si="27"/>
        <v>LF</v>
      </c>
      <c r="BO337" s="12" t="s">
        <v>126</v>
      </c>
      <c r="BP337" s="16" t="s">
        <v>1409</v>
      </c>
      <c r="BQ337" s="244" t="str">
        <f t="shared" si="28"/>
        <v>{[14_16F]:[G1CL]}</v>
      </c>
      <c r="BR337" s="42" t="str">
        <f t="shared" si="29"/>
        <v>Evans G1 Clear Batter</v>
      </c>
      <c r="CC337" s="12" t="s">
        <v>56</v>
      </c>
      <c r="CD337" s="12" t="s">
        <v>118</v>
      </c>
      <c r="CE337" s="77" t="s">
        <v>1409</v>
      </c>
      <c r="CF337" s="244" t="s">
        <v>1687</v>
      </c>
      <c r="CG337" s="42" t="s">
        <v>1436</v>
      </c>
    </row>
    <row r="338" spans="7:85" x14ac:dyDescent="0.3">
      <c r="G338" s="12" t="s">
        <v>17</v>
      </c>
      <c r="H338" s="12" t="s">
        <v>343</v>
      </c>
      <c r="I338" s="12" t="s">
        <v>26</v>
      </c>
      <c r="J338" s="129" t="str">
        <f t="shared" si="26"/>
        <v>Satin Sable</v>
      </c>
      <c r="K338" s="129"/>
      <c r="L338" s="129"/>
      <c r="AO338" s="14" t="s">
        <v>562</v>
      </c>
      <c r="AP338" s="12" t="s">
        <v>83</v>
      </c>
      <c r="AQ338" s="14" t="s">
        <v>22</v>
      </c>
      <c r="AR338" s="12" t="s">
        <v>948</v>
      </c>
      <c r="AS338" s="129" t="s">
        <v>1340</v>
      </c>
      <c r="BN338" s="154" t="str">
        <f t="shared" si="27"/>
        <v>LT</v>
      </c>
      <c r="BO338" s="12" t="s">
        <v>182</v>
      </c>
      <c r="BP338" s="16" t="s">
        <v>1409</v>
      </c>
      <c r="BQ338" s="244" t="str">
        <f t="shared" si="28"/>
        <v>{[14_16T]:[G1CL]}</v>
      </c>
      <c r="BR338" s="42" t="str">
        <f t="shared" si="29"/>
        <v>Evans G1 Clear Batter</v>
      </c>
      <c r="CC338" s="12" t="s">
        <v>56</v>
      </c>
      <c r="CD338" s="12" t="s">
        <v>122</v>
      </c>
      <c r="CE338" s="77" t="s">
        <v>1409</v>
      </c>
      <c r="CF338" s="244" t="s">
        <v>1688</v>
      </c>
      <c r="CG338" s="42" t="s">
        <v>1436</v>
      </c>
    </row>
    <row r="339" spans="7:85" x14ac:dyDescent="0.3">
      <c r="G339" s="12" t="s">
        <v>17</v>
      </c>
      <c r="H339" s="12" t="s">
        <v>343</v>
      </c>
      <c r="I339" s="12" t="s">
        <v>914</v>
      </c>
      <c r="J339" s="129" t="str">
        <f t="shared" si="26"/>
        <v>Satin Sable w/Accent</v>
      </c>
      <c r="K339" s="129"/>
      <c r="L339" s="129"/>
      <c r="AO339" s="14" t="s">
        <v>562</v>
      </c>
      <c r="AP339" s="12" t="s">
        <v>83</v>
      </c>
      <c r="AQ339" s="14" t="s">
        <v>22</v>
      </c>
      <c r="AR339" s="12" t="s">
        <v>946</v>
      </c>
      <c r="AS339" s="129" t="s">
        <v>1339</v>
      </c>
      <c r="BN339" s="154" t="str">
        <f t="shared" si="27"/>
        <v>LF</v>
      </c>
      <c r="BO339" s="12" t="s">
        <v>128</v>
      </c>
      <c r="BP339" s="16" t="s">
        <v>1409</v>
      </c>
      <c r="BQ339" s="244" t="str">
        <f t="shared" si="28"/>
        <v>{[15_16F]:[G1CL]}</v>
      </c>
      <c r="BR339" s="42" t="str">
        <f t="shared" si="29"/>
        <v>Evans G1 Clear Batter</v>
      </c>
      <c r="CC339" s="12" t="s">
        <v>56</v>
      </c>
      <c r="CD339" s="12" t="s">
        <v>125</v>
      </c>
      <c r="CE339" s="77" t="s">
        <v>1409</v>
      </c>
      <c r="CF339" s="244" t="s">
        <v>1689</v>
      </c>
      <c r="CG339" s="42" t="s">
        <v>1436</v>
      </c>
    </row>
    <row r="340" spans="7:85" x14ac:dyDescent="0.3">
      <c r="G340" s="12" t="s">
        <v>17</v>
      </c>
      <c r="H340" s="12" t="s">
        <v>343</v>
      </c>
      <c r="I340" s="12" t="s">
        <v>321</v>
      </c>
      <c r="J340" s="129" t="str">
        <f t="shared" ref="J340:J403" si="30">INDEX($C$3:$C$15,MATCH(I340,$B$3:$B$15,0))</f>
        <v>Satin Natural</v>
      </c>
      <c r="K340" s="129"/>
      <c r="L340" s="129"/>
      <c r="AO340" s="14" t="s">
        <v>562</v>
      </c>
      <c r="AP340" s="12" t="s">
        <v>83</v>
      </c>
      <c r="AQ340" s="14" t="s">
        <v>22</v>
      </c>
      <c r="AR340" s="12" t="s">
        <v>950</v>
      </c>
      <c r="AS340" s="129" t="s">
        <v>1341</v>
      </c>
      <c r="BN340" s="154" t="str">
        <f t="shared" si="27"/>
        <v>LT</v>
      </c>
      <c r="BO340" s="12" t="s">
        <v>183</v>
      </c>
      <c r="BP340" s="16" t="s">
        <v>1409</v>
      </c>
      <c r="BQ340" s="244" t="str">
        <f t="shared" si="28"/>
        <v>{[15_16T]:[G1CL]}</v>
      </c>
      <c r="BR340" s="42" t="str">
        <f t="shared" si="29"/>
        <v>Evans G1 Clear Batter</v>
      </c>
      <c r="CC340" s="12" t="s">
        <v>56</v>
      </c>
      <c r="CD340" s="12" t="s">
        <v>126</v>
      </c>
      <c r="CE340" s="77" t="s">
        <v>1409</v>
      </c>
      <c r="CF340" s="244" t="s">
        <v>1690</v>
      </c>
      <c r="CG340" s="42" t="s">
        <v>1436</v>
      </c>
    </row>
    <row r="341" spans="7:85" x14ac:dyDescent="0.3">
      <c r="G341" s="12" t="s">
        <v>17</v>
      </c>
      <c r="H341" s="12" t="s">
        <v>343</v>
      </c>
      <c r="I341" s="12" t="s">
        <v>912</v>
      </c>
      <c r="J341" s="129" t="str">
        <f t="shared" si="30"/>
        <v>Satin Natural w/Accent</v>
      </c>
      <c r="K341" s="129"/>
      <c r="L341" s="129"/>
      <c r="AO341" s="14" t="s">
        <v>562</v>
      </c>
      <c r="AP341" s="12" t="s">
        <v>83</v>
      </c>
      <c r="AQ341" s="14" t="s">
        <v>22</v>
      </c>
      <c r="AR341" s="12" t="s">
        <v>954</v>
      </c>
      <c r="AS341" s="129" t="s">
        <v>1343</v>
      </c>
      <c r="BN341" s="154" t="str">
        <f t="shared" si="27"/>
        <v>LF</v>
      </c>
      <c r="BO341" s="12" t="s">
        <v>129</v>
      </c>
      <c r="BP341" s="16" t="s">
        <v>1409</v>
      </c>
      <c r="BQ341" s="244" t="str">
        <f t="shared" si="28"/>
        <v>{[16_16F]:[G1CL]}</v>
      </c>
      <c r="BR341" s="42" t="str">
        <f t="shared" si="29"/>
        <v>Evans G1 Clear Batter</v>
      </c>
      <c r="CC341" s="12" t="s">
        <v>56</v>
      </c>
      <c r="CD341" s="12" t="s">
        <v>128</v>
      </c>
      <c r="CE341" s="77" t="s">
        <v>1409</v>
      </c>
      <c r="CF341" s="244" t="s">
        <v>1691</v>
      </c>
      <c r="CG341" s="42" t="s">
        <v>1436</v>
      </c>
    </row>
    <row r="342" spans="7:85" x14ac:dyDescent="0.3">
      <c r="G342" s="12" t="s">
        <v>17</v>
      </c>
      <c r="H342" s="12" t="s">
        <v>343</v>
      </c>
      <c r="I342" s="12" t="s">
        <v>309</v>
      </c>
      <c r="J342" s="129" t="str">
        <f t="shared" si="30"/>
        <v>Natural Hoop</v>
      </c>
      <c r="K342" s="129"/>
      <c r="L342" s="129"/>
      <c r="AO342" s="14" t="s">
        <v>562</v>
      </c>
      <c r="AP342" s="12" t="s">
        <v>95</v>
      </c>
      <c r="AQ342" s="14" t="s">
        <v>518</v>
      </c>
      <c r="AR342" s="12" t="s">
        <v>948</v>
      </c>
      <c r="AS342" s="129" t="s">
        <v>1340</v>
      </c>
      <c r="BN342" s="154" t="str">
        <f t="shared" si="27"/>
        <v>LT</v>
      </c>
      <c r="BO342" s="12" t="s">
        <v>184</v>
      </c>
      <c r="BP342" s="16" t="s">
        <v>1409</v>
      </c>
      <c r="BQ342" s="244" t="str">
        <f t="shared" si="28"/>
        <v>{[16_16T]:[G1CL]}</v>
      </c>
      <c r="BR342" s="42" t="str">
        <f t="shared" si="29"/>
        <v>Evans G1 Clear Batter</v>
      </c>
      <c r="CC342" s="12" t="s">
        <v>56</v>
      </c>
      <c r="CD342" s="12" t="s">
        <v>129</v>
      </c>
      <c r="CE342" s="77" t="s">
        <v>1409</v>
      </c>
      <c r="CF342" s="244" t="s">
        <v>1692</v>
      </c>
      <c r="CG342" s="42" t="s">
        <v>1436</v>
      </c>
    </row>
    <row r="343" spans="7:85" x14ac:dyDescent="0.3">
      <c r="G343" s="12" t="s">
        <v>17</v>
      </c>
      <c r="H343" s="12" t="s">
        <v>343</v>
      </c>
      <c r="I343" s="12" t="s">
        <v>907</v>
      </c>
      <c r="J343" s="129" t="str">
        <f t="shared" si="30"/>
        <v>Natural w/Inlay</v>
      </c>
      <c r="K343" s="129"/>
      <c r="L343" s="129"/>
      <c r="AO343" s="14" t="s">
        <v>562</v>
      </c>
      <c r="AP343" s="12" t="s">
        <v>95</v>
      </c>
      <c r="AQ343" s="14" t="s">
        <v>518</v>
      </c>
      <c r="AR343" s="12" t="s">
        <v>946</v>
      </c>
      <c r="AS343" s="129" t="s">
        <v>1339</v>
      </c>
      <c r="BN343" s="154" t="str">
        <f t="shared" si="27"/>
        <v>LF</v>
      </c>
      <c r="BO343" s="12" t="s">
        <v>131</v>
      </c>
      <c r="BP343" s="16" t="s">
        <v>1409</v>
      </c>
      <c r="BQ343" s="244" t="str">
        <f t="shared" si="28"/>
        <v>{[16_18F]:[G1CL]}</v>
      </c>
      <c r="BR343" s="42" t="str">
        <f t="shared" si="29"/>
        <v>Evans G1 Clear Batter</v>
      </c>
      <c r="CC343" s="12" t="s">
        <v>56</v>
      </c>
      <c r="CD343" s="12" t="s">
        <v>131</v>
      </c>
      <c r="CE343" s="77" t="s">
        <v>1409</v>
      </c>
      <c r="CF343" s="244" t="s">
        <v>1693</v>
      </c>
      <c r="CG343" s="42" t="s">
        <v>1436</v>
      </c>
    </row>
    <row r="344" spans="7:85" x14ac:dyDescent="0.3">
      <c r="G344" s="12" t="s">
        <v>17</v>
      </c>
      <c r="H344" s="12" t="s">
        <v>343</v>
      </c>
      <c r="I344" s="12" t="s">
        <v>909</v>
      </c>
      <c r="J344" s="129" t="str">
        <f t="shared" si="30"/>
        <v>Natural w/Accent</v>
      </c>
      <c r="K344" s="129"/>
      <c r="L344" s="129"/>
      <c r="AO344" s="14" t="s">
        <v>562</v>
      </c>
      <c r="AP344" s="12" t="s">
        <v>95</v>
      </c>
      <c r="AQ344" s="14" t="s">
        <v>518</v>
      </c>
      <c r="AR344" s="12" t="s">
        <v>950</v>
      </c>
      <c r="AS344" s="129" t="s">
        <v>1341</v>
      </c>
      <c r="BN344" s="154" t="str">
        <f t="shared" si="27"/>
        <v>LT</v>
      </c>
      <c r="BO344" s="12" t="s">
        <v>205</v>
      </c>
      <c r="BP344" s="16" t="s">
        <v>1409</v>
      </c>
      <c r="BQ344" s="244" t="str">
        <f t="shared" si="28"/>
        <v>{[16_18T]:[G1CL]}</v>
      </c>
      <c r="BR344" s="42" t="str">
        <f t="shared" si="29"/>
        <v>Evans G1 Clear Batter</v>
      </c>
      <c r="CC344" s="9" t="s">
        <v>70</v>
      </c>
      <c r="CD344" s="12" t="s">
        <v>206</v>
      </c>
      <c r="CE344" s="77" t="s">
        <v>1411</v>
      </c>
      <c r="CF344" s="244" t="s">
        <v>1694</v>
      </c>
      <c r="CG344" s="42" t="s">
        <v>1437</v>
      </c>
    </row>
    <row r="345" spans="7:85" x14ac:dyDescent="0.3">
      <c r="G345" s="12" t="s">
        <v>17</v>
      </c>
      <c r="H345" s="12" t="s">
        <v>343</v>
      </c>
      <c r="I345" s="12" t="s">
        <v>313</v>
      </c>
      <c r="J345" s="129" t="str">
        <f t="shared" si="30"/>
        <v>Sable Black</v>
      </c>
      <c r="K345" s="129"/>
      <c r="L345" s="129"/>
      <c r="AO345" s="14" t="s">
        <v>562</v>
      </c>
      <c r="AP345" s="12" t="s">
        <v>95</v>
      </c>
      <c r="AQ345" s="14" t="s">
        <v>518</v>
      </c>
      <c r="AR345" s="12" t="s">
        <v>954</v>
      </c>
      <c r="AS345" s="129" t="s">
        <v>1343</v>
      </c>
      <c r="BN345" s="154" t="str">
        <f t="shared" si="27"/>
        <v>LT</v>
      </c>
      <c r="BO345" s="12" t="s">
        <v>206</v>
      </c>
      <c r="BP345" s="16" t="s">
        <v>1411</v>
      </c>
      <c r="BQ345" s="244" t="str">
        <f t="shared" si="28"/>
        <v>{[6_6T]:[G2CL]}</v>
      </c>
      <c r="BR345" s="42" t="str">
        <f t="shared" si="29"/>
        <v>Evans G2 Clear Batter</v>
      </c>
      <c r="CC345" s="9" t="s">
        <v>70</v>
      </c>
      <c r="CD345" s="12" t="s">
        <v>132</v>
      </c>
      <c r="CE345" s="77" t="s">
        <v>1411</v>
      </c>
      <c r="CF345" s="244" t="s">
        <v>1695</v>
      </c>
      <c r="CG345" s="42" t="s">
        <v>1437</v>
      </c>
    </row>
    <row r="346" spans="7:85" x14ac:dyDescent="0.3">
      <c r="G346" s="12" t="s">
        <v>19</v>
      </c>
      <c r="H346" s="12" t="s">
        <v>343</v>
      </c>
      <c r="I346" s="12" t="s">
        <v>902</v>
      </c>
      <c r="J346" s="129" t="str">
        <f t="shared" si="30"/>
        <v>Satin Sable w/Inlay</v>
      </c>
      <c r="K346" s="129"/>
      <c r="L346" s="129"/>
      <c r="AO346" s="14" t="s">
        <v>562</v>
      </c>
      <c r="AP346" s="12" t="s">
        <v>95</v>
      </c>
      <c r="AQ346" s="14" t="s">
        <v>22</v>
      </c>
      <c r="AR346" s="12" t="s">
        <v>948</v>
      </c>
      <c r="AS346" s="129" t="s">
        <v>1340</v>
      </c>
      <c r="BN346" s="154" t="str">
        <f t="shared" si="27"/>
        <v>LT</v>
      </c>
      <c r="BO346" s="12" t="s">
        <v>132</v>
      </c>
      <c r="BP346" s="16" t="s">
        <v>1411</v>
      </c>
      <c r="BQ346" s="244" t="str">
        <f t="shared" si="28"/>
        <v>{[7_6T]:[G2CL]}</v>
      </c>
      <c r="BR346" s="42" t="str">
        <f t="shared" si="29"/>
        <v>Evans G2 Clear Batter</v>
      </c>
      <c r="CC346" s="9" t="s">
        <v>70</v>
      </c>
      <c r="CD346" s="12" t="s">
        <v>133</v>
      </c>
      <c r="CE346" s="77" t="s">
        <v>1411</v>
      </c>
      <c r="CF346" s="244" t="s">
        <v>1696</v>
      </c>
      <c r="CG346" s="42" t="s">
        <v>1437</v>
      </c>
    </row>
    <row r="347" spans="7:85" x14ac:dyDescent="0.3">
      <c r="G347" s="12" t="s">
        <v>19</v>
      </c>
      <c r="H347" s="12" t="s">
        <v>343</v>
      </c>
      <c r="I347" s="12" t="s">
        <v>904</v>
      </c>
      <c r="J347" s="129" t="str">
        <f t="shared" si="30"/>
        <v>Satin Natural w/Inlay</v>
      </c>
      <c r="K347" s="129"/>
      <c r="L347" s="129"/>
      <c r="AO347" s="14" t="s">
        <v>562</v>
      </c>
      <c r="AP347" s="12" t="s">
        <v>95</v>
      </c>
      <c r="AQ347" s="14" t="s">
        <v>22</v>
      </c>
      <c r="AR347" s="12" t="s">
        <v>946</v>
      </c>
      <c r="AS347" s="129" t="s">
        <v>1339</v>
      </c>
      <c r="BN347" s="154" t="str">
        <f t="shared" si="27"/>
        <v>LT</v>
      </c>
      <c r="BO347" s="12" t="s">
        <v>133</v>
      </c>
      <c r="BP347" s="16" t="s">
        <v>1411</v>
      </c>
      <c r="BQ347" s="244" t="str">
        <f t="shared" si="28"/>
        <v>{[8_6T]:[G2CL]}</v>
      </c>
      <c r="BR347" s="42" t="str">
        <f t="shared" si="29"/>
        <v>Evans G2 Clear Batter</v>
      </c>
      <c r="CC347" s="9" t="s">
        <v>70</v>
      </c>
      <c r="CD347" s="12" t="s">
        <v>207</v>
      </c>
      <c r="CE347" s="77" t="s">
        <v>1411</v>
      </c>
      <c r="CF347" s="244" t="s">
        <v>1697</v>
      </c>
      <c r="CG347" s="42" t="s">
        <v>1437</v>
      </c>
    </row>
    <row r="348" spans="7:85" x14ac:dyDescent="0.3">
      <c r="G348" s="12" t="s">
        <v>19</v>
      </c>
      <c r="H348" s="12" t="s">
        <v>343</v>
      </c>
      <c r="I348" s="12" t="s">
        <v>26</v>
      </c>
      <c r="J348" s="129" t="str">
        <f t="shared" si="30"/>
        <v>Satin Sable</v>
      </c>
      <c r="K348" s="129"/>
      <c r="L348" s="129"/>
      <c r="AO348" s="14" t="s">
        <v>562</v>
      </c>
      <c r="AP348" s="12" t="s">
        <v>95</v>
      </c>
      <c r="AQ348" s="14" t="s">
        <v>22</v>
      </c>
      <c r="AR348" s="12" t="s">
        <v>950</v>
      </c>
      <c r="AS348" s="129" t="s">
        <v>1341</v>
      </c>
      <c r="BN348" s="154" t="str">
        <f t="shared" si="27"/>
        <v>LT</v>
      </c>
      <c r="BO348" s="12" t="s">
        <v>207</v>
      </c>
      <c r="BP348" s="16" t="s">
        <v>1411</v>
      </c>
      <c r="BQ348" s="244" t="str">
        <f t="shared" si="28"/>
        <v>{[6_8T]:[G2CL]}</v>
      </c>
      <c r="BR348" s="42" t="str">
        <f t="shared" si="29"/>
        <v>Evans G2 Clear Batter</v>
      </c>
      <c r="CC348" s="9" t="s">
        <v>70</v>
      </c>
      <c r="CD348" s="12" t="s">
        <v>134</v>
      </c>
      <c r="CE348" s="77" t="s">
        <v>1411</v>
      </c>
      <c r="CF348" s="244" t="s">
        <v>1698</v>
      </c>
      <c r="CG348" s="42" t="s">
        <v>1437</v>
      </c>
    </row>
    <row r="349" spans="7:85" x14ac:dyDescent="0.3">
      <c r="G349" s="12" t="s">
        <v>19</v>
      </c>
      <c r="H349" s="12" t="s">
        <v>343</v>
      </c>
      <c r="I349" s="12" t="s">
        <v>914</v>
      </c>
      <c r="J349" s="129" t="str">
        <f t="shared" si="30"/>
        <v>Satin Sable w/Accent</v>
      </c>
      <c r="K349" s="129"/>
      <c r="L349" s="129"/>
      <c r="AO349" s="14" t="s">
        <v>562</v>
      </c>
      <c r="AP349" s="12" t="s">
        <v>95</v>
      </c>
      <c r="AQ349" s="14" t="s">
        <v>22</v>
      </c>
      <c r="AR349" s="12" t="s">
        <v>954</v>
      </c>
      <c r="AS349" s="129" t="s">
        <v>1343</v>
      </c>
      <c r="BN349" s="154" t="str">
        <f t="shared" si="27"/>
        <v>LT</v>
      </c>
      <c r="BO349" s="12" t="s">
        <v>134</v>
      </c>
      <c r="BP349" s="16" t="s">
        <v>1411</v>
      </c>
      <c r="BQ349" s="244" t="str">
        <f t="shared" si="28"/>
        <v>{[7_8T]:[G2CL]}</v>
      </c>
      <c r="BR349" s="42" t="str">
        <f t="shared" si="29"/>
        <v>Evans G2 Clear Batter</v>
      </c>
      <c r="CC349" s="9" t="s">
        <v>70</v>
      </c>
      <c r="CD349" s="12" t="s">
        <v>136</v>
      </c>
      <c r="CE349" s="77" t="s">
        <v>1411</v>
      </c>
      <c r="CF349" s="244" t="s">
        <v>1699</v>
      </c>
      <c r="CG349" s="42" t="s">
        <v>1437</v>
      </c>
    </row>
    <row r="350" spans="7:85" x14ac:dyDescent="0.3">
      <c r="G350" s="12" t="s">
        <v>19</v>
      </c>
      <c r="H350" s="12" t="s">
        <v>343</v>
      </c>
      <c r="I350" s="12" t="s">
        <v>321</v>
      </c>
      <c r="J350" s="129" t="str">
        <f t="shared" si="30"/>
        <v>Satin Natural</v>
      </c>
      <c r="K350" s="129"/>
      <c r="L350" s="129"/>
      <c r="AO350" s="14" t="s">
        <v>562</v>
      </c>
      <c r="AP350" s="12" t="s">
        <v>49</v>
      </c>
      <c r="AQ350" s="14" t="s">
        <v>518</v>
      </c>
      <c r="AR350" s="12" t="s">
        <v>946</v>
      </c>
      <c r="AS350" s="129" t="s">
        <v>1339</v>
      </c>
      <c r="BN350" s="154" t="str">
        <f t="shared" si="27"/>
        <v>LT</v>
      </c>
      <c r="BO350" s="12" t="s">
        <v>136</v>
      </c>
      <c r="BP350" s="16" t="s">
        <v>1411</v>
      </c>
      <c r="BQ350" s="244" t="str">
        <f t="shared" si="28"/>
        <v>{[8_8T]:[G2CL]}</v>
      </c>
      <c r="BR350" s="42" t="str">
        <f t="shared" si="29"/>
        <v>Evans G2 Clear Batter</v>
      </c>
      <c r="CC350" s="9" t="s">
        <v>70</v>
      </c>
      <c r="CD350" s="12" t="s">
        <v>137</v>
      </c>
      <c r="CE350" s="77" t="s">
        <v>1411</v>
      </c>
      <c r="CF350" s="244" t="s">
        <v>1700</v>
      </c>
      <c r="CG350" s="42" t="s">
        <v>1437</v>
      </c>
    </row>
    <row r="351" spans="7:85" x14ac:dyDescent="0.3">
      <c r="G351" s="12" t="s">
        <v>19</v>
      </c>
      <c r="H351" s="12" t="s">
        <v>343</v>
      </c>
      <c r="I351" s="12" t="s">
        <v>912</v>
      </c>
      <c r="J351" s="129" t="str">
        <f t="shared" si="30"/>
        <v>Satin Natural w/Accent</v>
      </c>
      <c r="K351" s="129"/>
      <c r="L351" s="129"/>
      <c r="AO351" s="14" t="s">
        <v>562</v>
      </c>
      <c r="AP351" s="12" t="s">
        <v>49</v>
      </c>
      <c r="AQ351" s="14" t="s">
        <v>518</v>
      </c>
      <c r="AR351" s="12" t="s">
        <v>950</v>
      </c>
      <c r="AS351" s="129" t="s">
        <v>1341</v>
      </c>
      <c r="BN351" s="154" t="str">
        <f t="shared" si="27"/>
        <v>LT</v>
      </c>
      <c r="BO351" s="12" t="s">
        <v>137</v>
      </c>
      <c r="BP351" s="16" t="s">
        <v>1411</v>
      </c>
      <c r="BQ351" s="244" t="str">
        <f t="shared" si="28"/>
        <v>{[7_10T]:[G2CL]}</v>
      </c>
      <c r="BR351" s="42" t="str">
        <f t="shared" si="29"/>
        <v>Evans G2 Clear Batter</v>
      </c>
      <c r="CC351" s="9" t="s">
        <v>70</v>
      </c>
      <c r="CD351" s="12" t="s">
        <v>138</v>
      </c>
      <c r="CE351" s="77" t="s">
        <v>1411</v>
      </c>
      <c r="CF351" s="244" t="s">
        <v>1701</v>
      </c>
      <c r="CG351" s="42" t="s">
        <v>1437</v>
      </c>
    </row>
    <row r="352" spans="7:85" x14ac:dyDescent="0.3">
      <c r="G352" s="12" t="s">
        <v>19</v>
      </c>
      <c r="H352" s="12" t="s">
        <v>343</v>
      </c>
      <c r="I352" s="12" t="s">
        <v>309</v>
      </c>
      <c r="J352" s="129" t="str">
        <f t="shared" si="30"/>
        <v>Natural Hoop</v>
      </c>
      <c r="K352" s="129"/>
      <c r="L352" s="129"/>
      <c r="AO352" s="14" t="s">
        <v>562</v>
      </c>
      <c r="AP352" s="12" t="s">
        <v>49</v>
      </c>
      <c r="AQ352" s="14" t="s">
        <v>518</v>
      </c>
      <c r="AR352" s="12" t="s">
        <v>954</v>
      </c>
      <c r="AS352" s="129" t="s">
        <v>1343</v>
      </c>
      <c r="BN352" s="154" t="str">
        <f t="shared" si="27"/>
        <v>LT</v>
      </c>
      <c r="BO352" s="12" t="s">
        <v>138</v>
      </c>
      <c r="BP352" s="16" t="s">
        <v>1411</v>
      </c>
      <c r="BQ352" s="244" t="str">
        <f t="shared" si="28"/>
        <v>{[7H_10T]:[G2CL]}</v>
      </c>
      <c r="BR352" s="42" t="str">
        <f t="shared" si="29"/>
        <v>Evans G2 Clear Batter</v>
      </c>
      <c r="CC352" s="9" t="s">
        <v>70</v>
      </c>
      <c r="CD352" s="12" t="s">
        <v>139</v>
      </c>
      <c r="CE352" s="77" t="s">
        <v>1411</v>
      </c>
      <c r="CF352" s="244" t="s">
        <v>1702</v>
      </c>
      <c r="CG352" s="42" t="s">
        <v>1437</v>
      </c>
    </row>
    <row r="353" spans="7:85" x14ac:dyDescent="0.3">
      <c r="G353" s="12" t="s">
        <v>19</v>
      </c>
      <c r="H353" s="12" t="s">
        <v>343</v>
      </c>
      <c r="I353" s="12" t="s">
        <v>313</v>
      </c>
      <c r="J353" s="129" t="str">
        <f t="shared" si="30"/>
        <v>Sable Black</v>
      </c>
      <c r="K353" s="129"/>
      <c r="L353" s="129"/>
      <c r="AO353" s="14" t="s">
        <v>562</v>
      </c>
      <c r="AP353" s="12" t="s">
        <v>49</v>
      </c>
      <c r="AQ353" s="14" t="s">
        <v>22</v>
      </c>
      <c r="AR353" s="12" t="s">
        <v>946</v>
      </c>
      <c r="AS353" s="129" t="s">
        <v>1339</v>
      </c>
      <c r="BN353" s="154" t="str">
        <f t="shared" si="27"/>
        <v>LT</v>
      </c>
      <c r="BO353" s="12" t="s">
        <v>139</v>
      </c>
      <c r="BP353" s="16" t="s">
        <v>1411</v>
      </c>
      <c r="BQ353" s="244" t="str">
        <f t="shared" si="28"/>
        <v>{[8_10T]:[G2CL]}</v>
      </c>
      <c r="BR353" s="42" t="str">
        <f t="shared" si="29"/>
        <v>Evans G2 Clear Batter</v>
      </c>
      <c r="CC353" s="9" t="s">
        <v>70</v>
      </c>
      <c r="CD353" s="12" t="s">
        <v>140</v>
      </c>
      <c r="CE353" s="77" t="s">
        <v>1411</v>
      </c>
      <c r="CF353" s="244" t="s">
        <v>1703</v>
      </c>
      <c r="CG353" s="42" t="s">
        <v>1437</v>
      </c>
    </row>
    <row r="354" spans="7:85" x14ac:dyDescent="0.3">
      <c r="G354" s="12" t="s">
        <v>15</v>
      </c>
      <c r="H354" s="12" t="s">
        <v>344</v>
      </c>
      <c r="I354" s="12" t="s">
        <v>902</v>
      </c>
      <c r="J354" s="129" t="str">
        <f t="shared" si="30"/>
        <v>Satin Sable w/Inlay</v>
      </c>
      <c r="K354" s="129"/>
      <c r="L354" s="129"/>
      <c r="AO354" s="14" t="s">
        <v>562</v>
      </c>
      <c r="AP354" s="12" t="s">
        <v>49</v>
      </c>
      <c r="AQ354" s="14" t="s">
        <v>22</v>
      </c>
      <c r="AR354" s="12" t="s">
        <v>950</v>
      </c>
      <c r="AS354" s="129" t="s">
        <v>1341</v>
      </c>
      <c r="BN354" s="154" t="str">
        <f t="shared" si="27"/>
        <v>LT</v>
      </c>
      <c r="BO354" s="12" t="s">
        <v>140</v>
      </c>
      <c r="BP354" s="16" t="s">
        <v>1411</v>
      </c>
      <c r="BQ354" s="244" t="str">
        <f t="shared" si="28"/>
        <v>{[9_10T]:[G2CL]}</v>
      </c>
      <c r="BR354" s="42" t="str">
        <f t="shared" si="29"/>
        <v>Evans G2 Clear Batter</v>
      </c>
      <c r="CC354" s="9" t="s">
        <v>70</v>
      </c>
      <c r="CD354" s="12" t="s">
        <v>141</v>
      </c>
      <c r="CE354" s="77" t="s">
        <v>1411</v>
      </c>
      <c r="CF354" s="244" t="s">
        <v>1704</v>
      </c>
      <c r="CG354" s="42" t="s">
        <v>1437</v>
      </c>
    </row>
    <row r="355" spans="7:85" x14ac:dyDescent="0.3">
      <c r="G355" s="12" t="s">
        <v>15</v>
      </c>
      <c r="H355" s="12" t="s">
        <v>344</v>
      </c>
      <c r="I355" s="12" t="s">
        <v>904</v>
      </c>
      <c r="J355" s="129" t="str">
        <f t="shared" si="30"/>
        <v>Satin Natural w/Inlay</v>
      </c>
      <c r="K355" s="129"/>
      <c r="L355" s="129"/>
      <c r="AO355" s="14" t="s">
        <v>562</v>
      </c>
      <c r="AP355" s="12" t="s">
        <v>49</v>
      </c>
      <c r="AQ355" s="14" t="s">
        <v>22</v>
      </c>
      <c r="AR355" s="12" t="s">
        <v>954</v>
      </c>
      <c r="AS355" s="129" t="s">
        <v>1343</v>
      </c>
      <c r="BN355" s="154" t="str">
        <f t="shared" si="27"/>
        <v>LT</v>
      </c>
      <c r="BO355" s="12" t="s">
        <v>144</v>
      </c>
      <c r="BP355" s="16" t="s">
        <v>1411</v>
      </c>
      <c r="BQ355" s="244" t="str">
        <f t="shared" si="28"/>
        <v>{[10_12T]:[G2CL]}</v>
      </c>
      <c r="BR355" s="42" t="str">
        <f t="shared" si="29"/>
        <v>Evans G2 Clear Batter</v>
      </c>
      <c r="CC355" s="9" t="s">
        <v>70</v>
      </c>
      <c r="CD355" s="12" t="s">
        <v>143</v>
      </c>
      <c r="CE355" s="77" t="s">
        <v>1411</v>
      </c>
      <c r="CF355" s="244" t="s">
        <v>1705</v>
      </c>
      <c r="CG355" s="42" t="s">
        <v>1437</v>
      </c>
    </row>
    <row r="356" spans="7:85" x14ac:dyDescent="0.3">
      <c r="G356" s="12" t="s">
        <v>15</v>
      </c>
      <c r="H356" s="12" t="s">
        <v>344</v>
      </c>
      <c r="I356" s="12" t="s">
        <v>26</v>
      </c>
      <c r="J356" s="129" t="str">
        <f t="shared" si="30"/>
        <v>Satin Sable</v>
      </c>
      <c r="K356" s="129"/>
      <c r="L356" s="129"/>
      <c r="AO356" s="14" t="s">
        <v>562</v>
      </c>
      <c r="AP356" s="12" t="s">
        <v>58</v>
      </c>
      <c r="AQ356" s="14" t="s">
        <v>518</v>
      </c>
      <c r="AR356" s="12" t="s">
        <v>946</v>
      </c>
      <c r="AS356" s="129" t="s">
        <v>1339</v>
      </c>
      <c r="BN356" s="154" t="str">
        <f t="shared" si="27"/>
        <v>LT</v>
      </c>
      <c r="BO356" s="12" t="s">
        <v>146</v>
      </c>
      <c r="BP356" s="16" t="s">
        <v>1411</v>
      </c>
      <c r="BQ356" s="244" t="str">
        <f t="shared" si="28"/>
        <v>{[11_12T]:[G2CL]}</v>
      </c>
      <c r="BR356" s="42" t="str">
        <f t="shared" si="29"/>
        <v>Evans G2 Clear Batter</v>
      </c>
      <c r="CC356" s="9" t="s">
        <v>70</v>
      </c>
      <c r="CD356" s="12" t="s">
        <v>144</v>
      </c>
      <c r="CE356" s="77" t="s">
        <v>1411</v>
      </c>
      <c r="CF356" s="244" t="s">
        <v>1706</v>
      </c>
      <c r="CG356" s="42" t="s">
        <v>1437</v>
      </c>
    </row>
    <row r="357" spans="7:85" x14ac:dyDescent="0.3">
      <c r="G357" s="12" t="s">
        <v>15</v>
      </c>
      <c r="H357" s="12" t="s">
        <v>344</v>
      </c>
      <c r="I357" s="12" t="s">
        <v>914</v>
      </c>
      <c r="J357" s="129" t="str">
        <f t="shared" si="30"/>
        <v>Satin Sable w/Accent</v>
      </c>
      <c r="K357" s="129"/>
      <c r="L357" s="129"/>
      <c r="AO357" s="14" t="s">
        <v>562</v>
      </c>
      <c r="AP357" s="12" t="s">
        <v>58</v>
      </c>
      <c r="AQ357" s="14" t="s">
        <v>518</v>
      </c>
      <c r="AR357" s="12" t="s">
        <v>950</v>
      </c>
      <c r="AS357" s="129" t="s">
        <v>1341</v>
      </c>
      <c r="BN357" s="154" t="str">
        <f t="shared" si="27"/>
        <v>LT</v>
      </c>
      <c r="BO357" s="12" t="s">
        <v>141</v>
      </c>
      <c r="BP357" s="16" t="s">
        <v>1411</v>
      </c>
      <c r="BQ357" s="244" t="str">
        <f t="shared" si="28"/>
        <v>{[8_12T]:[G2CL]}</v>
      </c>
      <c r="BR357" s="42" t="str">
        <f t="shared" si="29"/>
        <v>Evans G2 Clear Batter</v>
      </c>
      <c r="CC357" s="9" t="s">
        <v>70</v>
      </c>
      <c r="CD357" s="12" t="s">
        <v>146</v>
      </c>
      <c r="CE357" s="77" t="s">
        <v>1411</v>
      </c>
      <c r="CF357" s="244" t="s">
        <v>1707</v>
      </c>
      <c r="CG357" s="42" t="s">
        <v>1437</v>
      </c>
    </row>
    <row r="358" spans="7:85" x14ac:dyDescent="0.3">
      <c r="G358" s="12" t="s">
        <v>15</v>
      </c>
      <c r="H358" s="12" t="s">
        <v>344</v>
      </c>
      <c r="I358" s="12" t="s">
        <v>321</v>
      </c>
      <c r="J358" s="129" t="str">
        <f t="shared" si="30"/>
        <v>Satin Natural</v>
      </c>
      <c r="K358" s="129"/>
      <c r="L358" s="129"/>
      <c r="AO358" s="14" t="s">
        <v>562</v>
      </c>
      <c r="AP358" s="12" t="s">
        <v>58</v>
      </c>
      <c r="AQ358" s="14" t="s">
        <v>518</v>
      </c>
      <c r="AR358" s="12" t="s">
        <v>954</v>
      </c>
      <c r="AS358" s="129" t="s">
        <v>1343</v>
      </c>
      <c r="BN358" s="154" t="str">
        <f t="shared" si="27"/>
        <v>LT</v>
      </c>
      <c r="BO358" s="12" t="s">
        <v>143</v>
      </c>
      <c r="BP358" s="16" t="s">
        <v>1411</v>
      </c>
      <c r="BQ358" s="244" t="str">
        <f t="shared" si="28"/>
        <v>{[9_12T]:[G2CL]}</v>
      </c>
      <c r="BR358" s="42" t="str">
        <f t="shared" si="29"/>
        <v>Evans G2 Clear Batter</v>
      </c>
      <c r="CC358" s="9" t="s">
        <v>70</v>
      </c>
      <c r="CD358" s="12" t="s">
        <v>147</v>
      </c>
      <c r="CE358" s="77" t="s">
        <v>1411</v>
      </c>
      <c r="CF358" s="244" t="s">
        <v>1708</v>
      </c>
      <c r="CG358" s="42" t="s">
        <v>1437</v>
      </c>
    </row>
    <row r="359" spans="7:85" x14ac:dyDescent="0.3">
      <c r="G359" s="12" t="s">
        <v>15</v>
      </c>
      <c r="H359" s="12" t="s">
        <v>344</v>
      </c>
      <c r="I359" s="12" t="s">
        <v>912</v>
      </c>
      <c r="J359" s="129" t="str">
        <f t="shared" si="30"/>
        <v>Satin Natural w/Accent</v>
      </c>
      <c r="K359" s="129"/>
      <c r="L359" s="129"/>
      <c r="AO359" s="14" t="s">
        <v>562</v>
      </c>
      <c r="AP359" s="12" t="s">
        <v>58</v>
      </c>
      <c r="AQ359" s="14" t="s">
        <v>22</v>
      </c>
      <c r="AR359" s="12" t="s">
        <v>946</v>
      </c>
      <c r="AS359" s="129" t="s">
        <v>1339</v>
      </c>
      <c r="BN359" s="154" t="str">
        <f t="shared" si="27"/>
        <v>LT</v>
      </c>
      <c r="BO359" s="12" t="s">
        <v>148</v>
      </c>
      <c r="BP359" s="16" t="s">
        <v>1411</v>
      </c>
      <c r="BQ359" s="244" t="str">
        <f t="shared" si="28"/>
        <v>{[10_13T]:[G2CL]}</v>
      </c>
      <c r="BR359" s="42" t="str">
        <f t="shared" si="29"/>
        <v>Evans G2 Clear Batter</v>
      </c>
      <c r="CC359" s="9" t="s">
        <v>70</v>
      </c>
      <c r="CD359" s="12" t="s">
        <v>148</v>
      </c>
      <c r="CE359" s="77" t="s">
        <v>1411</v>
      </c>
      <c r="CF359" s="244" t="s">
        <v>1709</v>
      </c>
      <c r="CG359" s="42" t="s">
        <v>1437</v>
      </c>
    </row>
    <row r="360" spans="7:85" x14ac:dyDescent="0.3">
      <c r="G360" s="12" t="s">
        <v>15</v>
      </c>
      <c r="H360" s="12" t="s">
        <v>344</v>
      </c>
      <c r="I360" s="12" t="s">
        <v>309</v>
      </c>
      <c r="J360" s="129" t="str">
        <f t="shared" si="30"/>
        <v>Natural Hoop</v>
      </c>
      <c r="K360" s="129"/>
      <c r="L360" s="129"/>
      <c r="AO360" s="14" t="s">
        <v>562</v>
      </c>
      <c r="AP360" s="12" t="s">
        <v>58</v>
      </c>
      <c r="AQ360" s="14" t="s">
        <v>22</v>
      </c>
      <c r="AR360" s="12" t="s">
        <v>950</v>
      </c>
      <c r="AS360" s="129" t="s">
        <v>1341</v>
      </c>
      <c r="BN360" s="154" t="str">
        <f t="shared" si="27"/>
        <v>LT</v>
      </c>
      <c r="BO360" s="12" t="s">
        <v>149</v>
      </c>
      <c r="BP360" s="16" t="s">
        <v>1411</v>
      </c>
      <c r="BQ360" s="244" t="str">
        <f t="shared" si="28"/>
        <v>{[11_13T]:[G2CL]}</v>
      </c>
      <c r="BR360" s="42" t="str">
        <f t="shared" si="29"/>
        <v>Evans G2 Clear Batter</v>
      </c>
      <c r="CC360" s="9" t="s">
        <v>70</v>
      </c>
      <c r="CD360" s="12" t="s">
        <v>149</v>
      </c>
      <c r="CE360" s="77" t="s">
        <v>1411</v>
      </c>
      <c r="CF360" s="244" t="s">
        <v>1710</v>
      </c>
      <c r="CG360" s="42" t="s">
        <v>1437</v>
      </c>
    </row>
    <row r="361" spans="7:85" x14ac:dyDescent="0.3">
      <c r="G361" s="12" t="s">
        <v>15</v>
      </c>
      <c r="H361" s="12" t="s">
        <v>344</v>
      </c>
      <c r="I361" s="12" t="s">
        <v>907</v>
      </c>
      <c r="J361" s="129" t="str">
        <f t="shared" si="30"/>
        <v>Natural w/Inlay</v>
      </c>
      <c r="K361" s="129"/>
      <c r="L361" s="129"/>
      <c r="AO361" s="14" t="s">
        <v>562</v>
      </c>
      <c r="AP361" s="12" t="s">
        <v>58</v>
      </c>
      <c r="AQ361" s="14" t="s">
        <v>22</v>
      </c>
      <c r="AR361" s="12" t="s">
        <v>954</v>
      </c>
      <c r="AS361" s="129" t="s">
        <v>1343</v>
      </c>
      <c r="BN361" s="154" t="str">
        <f t="shared" si="27"/>
        <v>LT</v>
      </c>
      <c r="BO361" s="12" t="s">
        <v>150</v>
      </c>
      <c r="BP361" s="16" t="s">
        <v>1411</v>
      </c>
      <c r="BQ361" s="244" t="str">
        <f t="shared" si="28"/>
        <v>{[12_13T]:[G2CL]}</v>
      </c>
      <c r="BR361" s="42" t="str">
        <f t="shared" si="29"/>
        <v>Evans G2 Clear Batter</v>
      </c>
      <c r="CC361" s="9" t="s">
        <v>70</v>
      </c>
      <c r="CD361" s="12" t="s">
        <v>150</v>
      </c>
      <c r="CE361" s="77" t="s">
        <v>1411</v>
      </c>
      <c r="CF361" s="244" t="s">
        <v>1711</v>
      </c>
      <c r="CG361" s="42" t="s">
        <v>1437</v>
      </c>
    </row>
    <row r="362" spans="7:85" x14ac:dyDescent="0.3">
      <c r="G362" s="12" t="s">
        <v>15</v>
      </c>
      <c r="H362" s="12" t="s">
        <v>344</v>
      </c>
      <c r="I362" s="12" t="s">
        <v>909</v>
      </c>
      <c r="J362" s="129" t="str">
        <f t="shared" si="30"/>
        <v>Natural w/Accent</v>
      </c>
      <c r="K362" s="129"/>
      <c r="L362" s="129"/>
      <c r="AO362" s="14" t="s">
        <v>562</v>
      </c>
      <c r="AP362" s="12" t="s">
        <v>71</v>
      </c>
      <c r="AQ362" s="14" t="s">
        <v>518</v>
      </c>
      <c r="AR362" s="12" t="s">
        <v>948</v>
      </c>
      <c r="AS362" s="129" t="s">
        <v>1340</v>
      </c>
      <c r="BN362" s="154" t="str">
        <f t="shared" si="27"/>
        <v>LT</v>
      </c>
      <c r="BO362" s="12" t="s">
        <v>147</v>
      </c>
      <c r="BP362" s="16" t="s">
        <v>1411</v>
      </c>
      <c r="BQ362" s="244" t="str">
        <f t="shared" si="28"/>
        <v>{[9_13T]:[G2CL]}</v>
      </c>
      <c r="BR362" s="42" t="str">
        <f t="shared" si="29"/>
        <v>Evans G2 Clear Batter</v>
      </c>
      <c r="CC362" s="9" t="s">
        <v>70</v>
      </c>
      <c r="CD362" s="12" t="s">
        <v>151</v>
      </c>
      <c r="CE362" s="77" t="s">
        <v>1411</v>
      </c>
      <c r="CF362" s="244" t="s">
        <v>1712</v>
      </c>
      <c r="CG362" s="42" t="s">
        <v>1437</v>
      </c>
    </row>
    <row r="363" spans="7:85" x14ac:dyDescent="0.3">
      <c r="G363" s="12" t="s">
        <v>15</v>
      </c>
      <c r="H363" s="12" t="s">
        <v>344</v>
      </c>
      <c r="I363" s="12" t="s">
        <v>313</v>
      </c>
      <c r="J363" s="129" t="str">
        <f t="shared" si="30"/>
        <v>Sable Black</v>
      </c>
      <c r="K363" s="129"/>
      <c r="L363" s="129"/>
      <c r="AO363" s="14" t="s">
        <v>562</v>
      </c>
      <c r="AP363" s="12" t="s">
        <v>71</v>
      </c>
      <c r="AQ363" s="14" t="s">
        <v>518</v>
      </c>
      <c r="AR363" s="12" t="s">
        <v>946</v>
      </c>
      <c r="AS363" s="129" t="s">
        <v>1339</v>
      </c>
      <c r="BN363" s="154" t="str">
        <f t="shared" si="27"/>
        <v>LT</v>
      </c>
      <c r="BO363" s="12" t="s">
        <v>157</v>
      </c>
      <c r="BP363" s="16" t="s">
        <v>1411</v>
      </c>
      <c r="BQ363" s="244" t="str">
        <f t="shared" si="28"/>
        <v>{[10_14T]:[G2CL]}</v>
      </c>
      <c r="BR363" s="42" t="str">
        <f t="shared" si="29"/>
        <v>Evans G2 Clear Batter</v>
      </c>
      <c r="CC363" s="9" t="s">
        <v>70</v>
      </c>
      <c r="CD363" s="12" t="s">
        <v>157</v>
      </c>
      <c r="CE363" s="77" t="s">
        <v>1411</v>
      </c>
      <c r="CF363" s="244" t="s">
        <v>1713</v>
      </c>
      <c r="CG363" s="42" t="s">
        <v>1437</v>
      </c>
    </row>
    <row r="364" spans="7:85" x14ac:dyDescent="0.3">
      <c r="G364" s="12" t="s">
        <v>16</v>
      </c>
      <c r="H364" s="12" t="s">
        <v>344</v>
      </c>
      <c r="I364" s="12" t="s">
        <v>902</v>
      </c>
      <c r="J364" s="129" t="str">
        <f t="shared" si="30"/>
        <v>Satin Sable w/Inlay</v>
      </c>
      <c r="K364" s="129"/>
      <c r="L364" s="129"/>
      <c r="AO364" s="14" t="s">
        <v>562</v>
      </c>
      <c r="AP364" s="12" t="s">
        <v>71</v>
      </c>
      <c r="AQ364" s="14" t="s">
        <v>518</v>
      </c>
      <c r="AR364" s="12" t="s">
        <v>950</v>
      </c>
      <c r="AS364" s="129" t="s">
        <v>1341</v>
      </c>
      <c r="BN364" s="154" t="str">
        <f t="shared" si="27"/>
        <v>LT</v>
      </c>
      <c r="BO364" s="12" t="s">
        <v>163</v>
      </c>
      <c r="BP364" s="16" t="s">
        <v>1411</v>
      </c>
      <c r="BQ364" s="244" t="str">
        <f t="shared" si="28"/>
        <v>{[11_14T]:[G2CL]}</v>
      </c>
      <c r="BR364" s="42" t="str">
        <f t="shared" si="29"/>
        <v>Evans G2 Clear Batter</v>
      </c>
      <c r="CC364" s="9" t="s">
        <v>70</v>
      </c>
      <c r="CD364" s="12" t="s">
        <v>163</v>
      </c>
      <c r="CE364" s="77" t="s">
        <v>1411</v>
      </c>
      <c r="CF364" s="244" t="s">
        <v>1714</v>
      </c>
      <c r="CG364" s="42" t="s">
        <v>1437</v>
      </c>
    </row>
    <row r="365" spans="7:85" x14ac:dyDescent="0.3">
      <c r="G365" s="12" t="s">
        <v>16</v>
      </c>
      <c r="H365" s="12" t="s">
        <v>344</v>
      </c>
      <c r="I365" s="12" t="s">
        <v>904</v>
      </c>
      <c r="J365" s="129" t="str">
        <f t="shared" si="30"/>
        <v>Satin Natural w/Inlay</v>
      </c>
      <c r="K365" s="129"/>
      <c r="L365" s="129"/>
      <c r="AO365" s="14" t="s">
        <v>562</v>
      </c>
      <c r="AP365" s="12" t="s">
        <v>71</v>
      </c>
      <c r="AQ365" s="14" t="s">
        <v>518</v>
      </c>
      <c r="AR365" s="12" t="s">
        <v>954</v>
      </c>
      <c r="AS365" s="129" t="s">
        <v>1343</v>
      </c>
      <c r="BN365" s="154" t="str">
        <f t="shared" si="27"/>
        <v>LF</v>
      </c>
      <c r="BO365" s="12" t="s">
        <v>110</v>
      </c>
      <c r="BP365" s="16" t="s">
        <v>1411</v>
      </c>
      <c r="BQ365" s="244" t="str">
        <f t="shared" si="28"/>
        <v>{[12_14F]:[G2CL]}</v>
      </c>
      <c r="BR365" s="42" t="str">
        <f t="shared" si="29"/>
        <v>Evans G2 Clear Batter</v>
      </c>
      <c r="CC365" s="9" t="s">
        <v>70</v>
      </c>
      <c r="CD365" s="12" t="s">
        <v>169</v>
      </c>
      <c r="CE365" s="77" t="s">
        <v>1411</v>
      </c>
      <c r="CF365" s="244" t="s">
        <v>1715</v>
      </c>
      <c r="CG365" s="42" t="s">
        <v>1437</v>
      </c>
    </row>
    <row r="366" spans="7:85" x14ac:dyDescent="0.3">
      <c r="G366" s="12" t="s">
        <v>16</v>
      </c>
      <c r="H366" s="12" t="s">
        <v>344</v>
      </c>
      <c r="I366" s="12" t="s">
        <v>26</v>
      </c>
      <c r="J366" s="129" t="str">
        <f t="shared" si="30"/>
        <v>Satin Sable</v>
      </c>
      <c r="K366" s="129"/>
      <c r="L366" s="129"/>
      <c r="AO366" s="14" t="s">
        <v>562</v>
      </c>
      <c r="AP366" s="12" t="s">
        <v>71</v>
      </c>
      <c r="AQ366" s="14" t="s">
        <v>22</v>
      </c>
      <c r="AR366" s="12" t="s">
        <v>948</v>
      </c>
      <c r="AS366" s="129" t="s">
        <v>1340</v>
      </c>
      <c r="BN366" s="154" t="str">
        <f t="shared" si="27"/>
        <v>LT</v>
      </c>
      <c r="BO366" s="12" t="s">
        <v>169</v>
      </c>
      <c r="BP366" s="16" t="s">
        <v>1411</v>
      </c>
      <c r="BQ366" s="244" t="str">
        <f t="shared" si="28"/>
        <v>{[12_14T]:[G2CL]}</v>
      </c>
      <c r="BR366" s="42" t="str">
        <f t="shared" si="29"/>
        <v>Evans G2 Clear Batter</v>
      </c>
      <c r="CC366" s="9" t="s">
        <v>70</v>
      </c>
      <c r="CD366" s="12" t="s">
        <v>175</v>
      </c>
      <c r="CE366" s="77" t="s">
        <v>1411</v>
      </c>
      <c r="CF366" s="244" t="s">
        <v>1716</v>
      </c>
      <c r="CG366" s="42" t="s">
        <v>1437</v>
      </c>
    </row>
    <row r="367" spans="7:85" x14ac:dyDescent="0.3">
      <c r="G367" s="12" t="s">
        <v>16</v>
      </c>
      <c r="H367" s="12" t="s">
        <v>344</v>
      </c>
      <c r="I367" s="12" t="s">
        <v>914</v>
      </c>
      <c r="J367" s="129" t="str">
        <f t="shared" si="30"/>
        <v>Satin Sable w/Accent</v>
      </c>
      <c r="K367" s="129"/>
      <c r="L367" s="129"/>
      <c r="AO367" s="14" t="s">
        <v>562</v>
      </c>
      <c r="AP367" s="12" t="s">
        <v>71</v>
      </c>
      <c r="AQ367" s="14" t="s">
        <v>22</v>
      </c>
      <c r="AR367" s="12" t="s">
        <v>946</v>
      </c>
      <c r="AS367" s="129" t="s">
        <v>1339</v>
      </c>
      <c r="BN367" s="154" t="str">
        <f t="shared" si="27"/>
        <v>LF</v>
      </c>
      <c r="BO367" s="12" t="s">
        <v>113</v>
      </c>
      <c r="BP367" s="16" t="s">
        <v>1411</v>
      </c>
      <c r="BQ367" s="244" t="str">
        <f t="shared" si="28"/>
        <v>{[13_14F]:[G2CL]}</v>
      </c>
      <c r="BR367" s="42" t="str">
        <f t="shared" si="29"/>
        <v>Evans G2 Clear Batter</v>
      </c>
      <c r="CC367" s="9" t="s">
        <v>70</v>
      </c>
      <c r="CD367" s="12" t="s">
        <v>176</v>
      </c>
      <c r="CE367" s="77" t="s">
        <v>1411</v>
      </c>
      <c r="CF367" s="244" t="s">
        <v>1717</v>
      </c>
      <c r="CG367" s="42" t="s">
        <v>1437</v>
      </c>
    </row>
    <row r="368" spans="7:85" x14ac:dyDescent="0.3">
      <c r="G368" s="12" t="s">
        <v>16</v>
      </c>
      <c r="H368" s="12" t="s">
        <v>344</v>
      </c>
      <c r="I368" s="12" t="s">
        <v>321</v>
      </c>
      <c r="J368" s="129" t="str">
        <f t="shared" si="30"/>
        <v>Satin Natural</v>
      </c>
      <c r="K368" s="129"/>
      <c r="L368" s="129"/>
      <c r="AO368" s="14" t="s">
        <v>562</v>
      </c>
      <c r="AP368" s="12" t="s">
        <v>71</v>
      </c>
      <c r="AQ368" s="14" t="s">
        <v>22</v>
      </c>
      <c r="AR368" s="12" t="s">
        <v>950</v>
      </c>
      <c r="AS368" s="129" t="s">
        <v>1341</v>
      </c>
      <c r="BN368" s="154" t="str">
        <f t="shared" si="27"/>
        <v>LT</v>
      </c>
      <c r="BO368" s="12" t="s">
        <v>175</v>
      </c>
      <c r="BP368" s="16" t="s">
        <v>1411</v>
      </c>
      <c r="BQ368" s="244" t="str">
        <f t="shared" si="28"/>
        <v>{[13_14T]:[G2CL]}</v>
      </c>
      <c r="BR368" s="42" t="str">
        <f t="shared" si="29"/>
        <v>Evans G2 Clear Batter</v>
      </c>
      <c r="CC368" s="9" t="s">
        <v>70</v>
      </c>
      <c r="CD368" s="12" t="s">
        <v>178</v>
      </c>
      <c r="CE368" s="77" t="s">
        <v>1411</v>
      </c>
      <c r="CF368" s="244" t="s">
        <v>1718</v>
      </c>
      <c r="CG368" s="42" t="s">
        <v>1437</v>
      </c>
    </row>
    <row r="369" spans="7:85" x14ac:dyDescent="0.3">
      <c r="G369" s="12" t="s">
        <v>16</v>
      </c>
      <c r="H369" s="12" t="s">
        <v>344</v>
      </c>
      <c r="I369" s="12" t="s">
        <v>912</v>
      </c>
      <c r="J369" s="129" t="str">
        <f t="shared" si="30"/>
        <v>Satin Natural w/Accent</v>
      </c>
      <c r="K369" s="129"/>
      <c r="L369" s="129"/>
      <c r="AO369" s="14" t="s">
        <v>562</v>
      </c>
      <c r="AP369" s="12" t="s">
        <v>71</v>
      </c>
      <c r="AQ369" s="14" t="s">
        <v>22</v>
      </c>
      <c r="AR369" s="12" t="s">
        <v>954</v>
      </c>
      <c r="AS369" s="129" t="s">
        <v>1343</v>
      </c>
      <c r="BN369" s="154" t="str">
        <f t="shared" si="27"/>
        <v>LF</v>
      </c>
      <c r="BO369" s="12" t="s">
        <v>116</v>
      </c>
      <c r="BP369" s="16" t="s">
        <v>1411</v>
      </c>
      <c r="BQ369" s="244" t="str">
        <f t="shared" si="28"/>
        <v>{[14_14F]:[G2CL]}</v>
      </c>
      <c r="BR369" s="42" t="str">
        <f t="shared" si="29"/>
        <v>Evans G2 Clear Batter</v>
      </c>
      <c r="CC369" s="9" t="s">
        <v>70</v>
      </c>
      <c r="CD369" s="12" t="s">
        <v>179</v>
      </c>
      <c r="CE369" s="77" t="s">
        <v>1411</v>
      </c>
      <c r="CF369" s="244" t="s">
        <v>1719</v>
      </c>
      <c r="CG369" s="42" t="s">
        <v>1437</v>
      </c>
    </row>
    <row r="370" spans="7:85" x14ac:dyDescent="0.3">
      <c r="G370" s="12" t="s">
        <v>16</v>
      </c>
      <c r="H370" s="12" t="s">
        <v>344</v>
      </c>
      <c r="I370" s="12" t="s">
        <v>309</v>
      </c>
      <c r="J370" s="129" t="str">
        <f t="shared" si="30"/>
        <v>Natural Hoop</v>
      </c>
      <c r="K370" s="129"/>
      <c r="L370" s="129"/>
      <c r="AO370" s="14" t="s">
        <v>562</v>
      </c>
      <c r="AP370" s="12" t="s">
        <v>85</v>
      </c>
      <c r="AQ370" s="14" t="s">
        <v>518</v>
      </c>
      <c r="AR370" s="12" t="s">
        <v>948</v>
      </c>
      <c r="AS370" s="129" t="s">
        <v>1340</v>
      </c>
      <c r="BN370" s="154" t="str">
        <f t="shared" si="27"/>
        <v>LT</v>
      </c>
      <c r="BO370" s="12" t="s">
        <v>176</v>
      </c>
      <c r="BP370" s="16" t="s">
        <v>1411</v>
      </c>
      <c r="BQ370" s="244" t="str">
        <f t="shared" si="28"/>
        <v>{[14_14T]:[G2CL]}</v>
      </c>
      <c r="BR370" s="42" t="str">
        <f t="shared" si="29"/>
        <v>Evans G2 Clear Batter</v>
      </c>
      <c r="CC370" s="9" t="s">
        <v>70</v>
      </c>
      <c r="CD370" s="12" t="s">
        <v>180</v>
      </c>
      <c r="CE370" s="77" t="s">
        <v>1411</v>
      </c>
      <c r="CF370" s="244" t="s">
        <v>1720</v>
      </c>
      <c r="CG370" s="42" t="s">
        <v>1437</v>
      </c>
    </row>
    <row r="371" spans="7:85" x14ac:dyDescent="0.3">
      <c r="G371" s="12" t="s">
        <v>16</v>
      </c>
      <c r="H371" s="12" t="s">
        <v>344</v>
      </c>
      <c r="I371" s="12" t="s">
        <v>907</v>
      </c>
      <c r="J371" s="129" t="str">
        <f t="shared" si="30"/>
        <v>Natural w/Inlay</v>
      </c>
      <c r="K371" s="129"/>
      <c r="L371" s="129"/>
      <c r="AO371" s="14" t="s">
        <v>562</v>
      </c>
      <c r="AP371" s="12" t="s">
        <v>85</v>
      </c>
      <c r="AQ371" s="14" t="s">
        <v>518</v>
      </c>
      <c r="AR371" s="12" t="s">
        <v>946</v>
      </c>
      <c r="AS371" s="129" t="s">
        <v>1339</v>
      </c>
      <c r="BN371" s="154" t="str">
        <f t="shared" si="27"/>
        <v>LT</v>
      </c>
      <c r="BO371" s="12" t="s">
        <v>151</v>
      </c>
      <c r="BP371" s="16" t="s">
        <v>1411</v>
      </c>
      <c r="BQ371" s="244" t="str">
        <f t="shared" si="28"/>
        <v>{[9_14T]:[G2CL]}</v>
      </c>
      <c r="BR371" s="42" t="str">
        <f t="shared" si="29"/>
        <v>Evans G2 Clear Batter</v>
      </c>
      <c r="CC371" s="9" t="s">
        <v>70</v>
      </c>
      <c r="CD371" s="12" t="s">
        <v>181</v>
      </c>
      <c r="CE371" s="77" t="s">
        <v>1411</v>
      </c>
      <c r="CF371" s="244" t="s">
        <v>1721</v>
      </c>
      <c r="CG371" s="42" t="s">
        <v>1437</v>
      </c>
    </row>
    <row r="372" spans="7:85" x14ac:dyDescent="0.3">
      <c r="G372" s="12" t="s">
        <v>16</v>
      </c>
      <c r="H372" s="12" t="s">
        <v>344</v>
      </c>
      <c r="I372" s="12" t="s">
        <v>909</v>
      </c>
      <c r="J372" s="129" t="str">
        <f t="shared" si="30"/>
        <v>Natural w/Accent</v>
      </c>
      <c r="K372" s="129"/>
      <c r="L372" s="129"/>
      <c r="AO372" s="14" t="s">
        <v>562</v>
      </c>
      <c r="AP372" s="12" t="s">
        <v>85</v>
      </c>
      <c r="AQ372" s="14" t="s">
        <v>518</v>
      </c>
      <c r="AR372" s="12" t="s">
        <v>950</v>
      </c>
      <c r="AS372" s="129" t="s">
        <v>1341</v>
      </c>
      <c r="BN372" s="154" t="str">
        <f t="shared" si="27"/>
        <v>LT</v>
      </c>
      <c r="BO372" s="12" t="s">
        <v>178</v>
      </c>
      <c r="BP372" s="16" t="s">
        <v>1411</v>
      </c>
      <c r="BQ372" s="244" t="str">
        <f t="shared" si="28"/>
        <v>{[12_15T]:[G2CL]}</v>
      </c>
      <c r="BR372" s="42" t="str">
        <f t="shared" si="29"/>
        <v>Evans G2 Clear Batter</v>
      </c>
      <c r="CC372" s="9" t="s">
        <v>70</v>
      </c>
      <c r="CD372" s="12" t="s">
        <v>182</v>
      </c>
      <c r="CE372" s="77" t="s">
        <v>1411</v>
      </c>
      <c r="CF372" s="244" t="s">
        <v>1722</v>
      </c>
      <c r="CG372" s="42" t="s">
        <v>1437</v>
      </c>
    </row>
    <row r="373" spans="7:85" x14ac:dyDescent="0.3">
      <c r="G373" s="12" t="s">
        <v>16</v>
      </c>
      <c r="H373" s="12" t="s">
        <v>344</v>
      </c>
      <c r="I373" s="12" t="s">
        <v>313</v>
      </c>
      <c r="J373" s="129" t="str">
        <f t="shared" si="30"/>
        <v>Sable Black</v>
      </c>
      <c r="K373" s="129"/>
      <c r="L373" s="129"/>
      <c r="AO373" s="14" t="s">
        <v>562</v>
      </c>
      <c r="AP373" s="12" t="s">
        <v>85</v>
      </c>
      <c r="AQ373" s="14" t="s">
        <v>518</v>
      </c>
      <c r="AR373" s="12" t="s">
        <v>954</v>
      </c>
      <c r="AS373" s="129" t="s">
        <v>1343</v>
      </c>
      <c r="BN373" s="154" t="str">
        <f t="shared" si="27"/>
        <v>LF</v>
      </c>
      <c r="BO373" s="12" t="s">
        <v>118</v>
      </c>
      <c r="BP373" s="16" t="s">
        <v>1411</v>
      </c>
      <c r="BQ373" s="244" t="str">
        <f t="shared" si="28"/>
        <v>{[13_15F]:[G2CL]}</v>
      </c>
      <c r="BR373" s="42" t="str">
        <f t="shared" si="29"/>
        <v>Evans G2 Clear Batter</v>
      </c>
      <c r="CC373" s="9" t="s">
        <v>70</v>
      </c>
      <c r="CD373" s="12" t="s">
        <v>183</v>
      </c>
      <c r="CE373" s="77" t="s">
        <v>1411</v>
      </c>
      <c r="CF373" s="244" t="s">
        <v>1723</v>
      </c>
      <c r="CG373" s="42" t="s">
        <v>1437</v>
      </c>
    </row>
    <row r="374" spans="7:85" x14ac:dyDescent="0.3">
      <c r="G374" s="12" t="s">
        <v>17</v>
      </c>
      <c r="H374" s="12" t="s">
        <v>344</v>
      </c>
      <c r="I374" s="12" t="s">
        <v>902</v>
      </c>
      <c r="J374" s="129" t="str">
        <f t="shared" si="30"/>
        <v>Satin Sable w/Inlay</v>
      </c>
      <c r="K374" s="129"/>
      <c r="L374" s="129"/>
      <c r="AO374" s="14" t="s">
        <v>562</v>
      </c>
      <c r="AP374" s="12" t="s">
        <v>85</v>
      </c>
      <c r="AQ374" s="14" t="s">
        <v>22</v>
      </c>
      <c r="AR374" s="12" t="s">
        <v>948</v>
      </c>
      <c r="AS374" s="129" t="s">
        <v>1340</v>
      </c>
      <c r="BN374" s="154" t="str">
        <f t="shared" si="27"/>
        <v>LT</v>
      </c>
      <c r="BO374" s="12" t="s">
        <v>179</v>
      </c>
      <c r="BP374" s="16" t="s">
        <v>1411</v>
      </c>
      <c r="BQ374" s="244" t="str">
        <f t="shared" si="28"/>
        <v>{[13_15T]:[G2CL]}</v>
      </c>
      <c r="BR374" s="42" t="str">
        <f t="shared" si="29"/>
        <v>Evans G2 Clear Batter</v>
      </c>
      <c r="CC374" s="9" t="s">
        <v>70</v>
      </c>
      <c r="CD374" s="12" t="s">
        <v>184</v>
      </c>
      <c r="CE374" s="77" t="s">
        <v>1411</v>
      </c>
      <c r="CF374" s="244" t="s">
        <v>1724</v>
      </c>
      <c r="CG374" s="42" t="s">
        <v>1437</v>
      </c>
    </row>
    <row r="375" spans="7:85" x14ac:dyDescent="0.3">
      <c r="G375" s="12" t="s">
        <v>17</v>
      </c>
      <c r="H375" s="12" t="s">
        <v>344</v>
      </c>
      <c r="I375" s="12" t="s">
        <v>904</v>
      </c>
      <c r="J375" s="129" t="str">
        <f t="shared" si="30"/>
        <v>Satin Natural w/Inlay</v>
      </c>
      <c r="K375" s="129"/>
      <c r="L375" s="129"/>
      <c r="AO375" s="14" t="s">
        <v>562</v>
      </c>
      <c r="AP375" s="12" t="s">
        <v>85</v>
      </c>
      <c r="AQ375" s="14" t="s">
        <v>22</v>
      </c>
      <c r="AR375" s="12" t="s">
        <v>946</v>
      </c>
      <c r="AS375" s="129" t="s">
        <v>1339</v>
      </c>
      <c r="BN375" s="154" t="str">
        <f t="shared" si="27"/>
        <v>LF</v>
      </c>
      <c r="BO375" s="12" t="s">
        <v>122</v>
      </c>
      <c r="BP375" s="16" t="s">
        <v>1411</v>
      </c>
      <c r="BQ375" s="244" t="str">
        <f t="shared" si="28"/>
        <v>{[14_15F]:[G2CL]}</v>
      </c>
      <c r="BR375" s="42" t="str">
        <f t="shared" si="29"/>
        <v>Evans G2 Clear Batter</v>
      </c>
      <c r="CC375" s="9" t="s">
        <v>70</v>
      </c>
      <c r="CD375" s="12" t="s">
        <v>205</v>
      </c>
      <c r="CE375" s="77" t="s">
        <v>1411</v>
      </c>
      <c r="CF375" s="244" t="s">
        <v>1725</v>
      </c>
      <c r="CG375" s="42" t="s">
        <v>1437</v>
      </c>
    </row>
    <row r="376" spans="7:85" x14ac:dyDescent="0.3">
      <c r="G376" s="12" t="s">
        <v>17</v>
      </c>
      <c r="H376" s="12" t="s">
        <v>344</v>
      </c>
      <c r="I376" s="12" t="s">
        <v>26</v>
      </c>
      <c r="J376" s="129" t="str">
        <f t="shared" si="30"/>
        <v>Satin Sable</v>
      </c>
      <c r="K376" s="129"/>
      <c r="L376" s="129"/>
      <c r="AO376" s="14" t="s">
        <v>562</v>
      </c>
      <c r="AP376" s="12" t="s">
        <v>85</v>
      </c>
      <c r="AQ376" s="14" t="s">
        <v>22</v>
      </c>
      <c r="AR376" s="12" t="s">
        <v>950</v>
      </c>
      <c r="AS376" s="129" t="s">
        <v>1341</v>
      </c>
      <c r="BN376" s="154" t="str">
        <f t="shared" si="27"/>
        <v>LT</v>
      </c>
      <c r="BO376" s="12" t="s">
        <v>180</v>
      </c>
      <c r="BP376" s="16" t="s">
        <v>1411</v>
      </c>
      <c r="BQ376" s="244" t="str">
        <f t="shared" si="28"/>
        <v>{[14_15T]:[G2CL]}</v>
      </c>
      <c r="BR376" s="42" t="str">
        <f t="shared" si="29"/>
        <v>Evans G2 Clear Batter</v>
      </c>
      <c r="CC376" s="12" t="s">
        <v>56</v>
      </c>
      <c r="CD376" s="12" t="s">
        <v>110</v>
      </c>
      <c r="CE376" s="77" t="s">
        <v>1411</v>
      </c>
      <c r="CF376" s="244" t="s">
        <v>1726</v>
      </c>
      <c r="CG376" s="42" t="s">
        <v>1437</v>
      </c>
    </row>
    <row r="377" spans="7:85" x14ac:dyDescent="0.3">
      <c r="G377" s="12" t="s">
        <v>17</v>
      </c>
      <c r="H377" s="12" t="s">
        <v>344</v>
      </c>
      <c r="I377" s="12" t="s">
        <v>914</v>
      </c>
      <c r="J377" s="129" t="str">
        <f t="shared" si="30"/>
        <v>Satin Sable w/Accent</v>
      </c>
      <c r="K377" s="129"/>
      <c r="L377" s="129"/>
      <c r="AO377" s="14" t="s">
        <v>562</v>
      </c>
      <c r="AP377" s="12" t="s">
        <v>85</v>
      </c>
      <c r="AQ377" s="14" t="s">
        <v>22</v>
      </c>
      <c r="AR377" s="12" t="s">
        <v>954</v>
      </c>
      <c r="AS377" s="129" t="s">
        <v>1343</v>
      </c>
      <c r="BN377" s="154" t="str">
        <f t="shared" si="27"/>
        <v>LF</v>
      </c>
      <c r="BO377" s="12" t="s">
        <v>125</v>
      </c>
      <c r="BP377" s="16" t="s">
        <v>1411</v>
      </c>
      <c r="BQ377" s="244" t="str">
        <f t="shared" si="28"/>
        <v>{[13_16F]:[G2CL]}</v>
      </c>
      <c r="BR377" s="42" t="str">
        <f t="shared" si="29"/>
        <v>Evans G2 Clear Batter</v>
      </c>
      <c r="CC377" s="12" t="s">
        <v>56</v>
      </c>
      <c r="CD377" s="12" t="s">
        <v>113</v>
      </c>
      <c r="CE377" s="77" t="s">
        <v>1411</v>
      </c>
      <c r="CF377" s="244" t="s">
        <v>1727</v>
      </c>
      <c r="CG377" s="42" t="s">
        <v>1437</v>
      </c>
    </row>
    <row r="378" spans="7:85" x14ac:dyDescent="0.3">
      <c r="G378" s="12" t="s">
        <v>17</v>
      </c>
      <c r="H378" s="12" t="s">
        <v>344</v>
      </c>
      <c r="I378" s="12" t="s">
        <v>321</v>
      </c>
      <c r="J378" s="129" t="str">
        <f t="shared" si="30"/>
        <v>Satin Natural</v>
      </c>
      <c r="K378" s="129"/>
      <c r="L378" s="129"/>
      <c r="AO378" s="14" t="s">
        <v>562</v>
      </c>
      <c r="AP378" s="12" t="s">
        <v>100</v>
      </c>
      <c r="AQ378" s="14" t="s">
        <v>518</v>
      </c>
      <c r="AR378" s="12" t="s">
        <v>948</v>
      </c>
      <c r="AS378" s="129" t="s">
        <v>1340</v>
      </c>
      <c r="BN378" s="154" t="str">
        <f t="shared" si="27"/>
        <v>LT</v>
      </c>
      <c r="BO378" s="12" t="s">
        <v>181</v>
      </c>
      <c r="BP378" s="16" t="s">
        <v>1411</v>
      </c>
      <c r="BQ378" s="244" t="str">
        <f t="shared" si="28"/>
        <v>{[13_16T]:[G2CL]}</v>
      </c>
      <c r="BR378" s="42" t="str">
        <f t="shared" si="29"/>
        <v>Evans G2 Clear Batter</v>
      </c>
      <c r="CC378" s="12" t="s">
        <v>56</v>
      </c>
      <c r="CD378" s="12" t="s">
        <v>116</v>
      </c>
      <c r="CE378" s="77" t="s">
        <v>1411</v>
      </c>
      <c r="CF378" s="244" t="s">
        <v>1728</v>
      </c>
      <c r="CG378" s="42" t="s">
        <v>1437</v>
      </c>
    </row>
    <row r="379" spans="7:85" x14ac:dyDescent="0.3">
      <c r="G379" s="12" t="s">
        <v>17</v>
      </c>
      <c r="H379" s="12" t="s">
        <v>344</v>
      </c>
      <c r="I379" s="12" t="s">
        <v>912</v>
      </c>
      <c r="J379" s="129" t="str">
        <f t="shared" si="30"/>
        <v>Satin Natural w/Accent</v>
      </c>
      <c r="K379" s="129"/>
      <c r="L379" s="129"/>
      <c r="AO379" s="14" t="s">
        <v>562</v>
      </c>
      <c r="AP379" s="12" t="s">
        <v>100</v>
      </c>
      <c r="AQ379" s="14" t="s">
        <v>518</v>
      </c>
      <c r="AR379" s="12" t="s">
        <v>946</v>
      </c>
      <c r="AS379" s="129" t="s">
        <v>1339</v>
      </c>
      <c r="BN379" s="154" t="str">
        <f t="shared" si="27"/>
        <v>LF</v>
      </c>
      <c r="BO379" s="12" t="s">
        <v>126</v>
      </c>
      <c r="BP379" s="16" t="s">
        <v>1411</v>
      </c>
      <c r="BQ379" s="244" t="str">
        <f t="shared" si="28"/>
        <v>{[14_16F]:[G2CL]}</v>
      </c>
      <c r="BR379" s="42" t="str">
        <f t="shared" si="29"/>
        <v>Evans G2 Clear Batter</v>
      </c>
      <c r="CC379" s="12" t="s">
        <v>56</v>
      </c>
      <c r="CD379" s="12" t="s">
        <v>118</v>
      </c>
      <c r="CE379" s="77" t="s">
        <v>1411</v>
      </c>
      <c r="CF379" s="244" t="s">
        <v>1729</v>
      </c>
      <c r="CG379" s="42" t="s">
        <v>1437</v>
      </c>
    </row>
    <row r="380" spans="7:85" x14ac:dyDescent="0.3">
      <c r="G380" s="12" t="s">
        <v>17</v>
      </c>
      <c r="H380" s="12" t="s">
        <v>344</v>
      </c>
      <c r="I380" s="12" t="s">
        <v>309</v>
      </c>
      <c r="J380" s="129" t="str">
        <f t="shared" si="30"/>
        <v>Natural Hoop</v>
      </c>
      <c r="K380" s="129"/>
      <c r="L380" s="129"/>
      <c r="AO380" s="14" t="s">
        <v>562</v>
      </c>
      <c r="AP380" s="12" t="s">
        <v>100</v>
      </c>
      <c r="AQ380" s="14" t="s">
        <v>518</v>
      </c>
      <c r="AR380" s="12" t="s">
        <v>950</v>
      </c>
      <c r="AS380" s="129" t="s">
        <v>1341</v>
      </c>
      <c r="BN380" s="154" t="str">
        <f t="shared" si="27"/>
        <v>LT</v>
      </c>
      <c r="BO380" s="12" t="s">
        <v>182</v>
      </c>
      <c r="BP380" s="16" t="s">
        <v>1411</v>
      </c>
      <c r="BQ380" s="244" t="str">
        <f t="shared" si="28"/>
        <v>{[14_16T]:[G2CL]}</v>
      </c>
      <c r="BR380" s="42" t="str">
        <f t="shared" si="29"/>
        <v>Evans G2 Clear Batter</v>
      </c>
      <c r="CC380" s="12" t="s">
        <v>56</v>
      </c>
      <c r="CD380" s="12" t="s">
        <v>122</v>
      </c>
      <c r="CE380" s="77" t="s">
        <v>1411</v>
      </c>
      <c r="CF380" s="244" t="s">
        <v>1730</v>
      </c>
      <c r="CG380" s="42" t="s">
        <v>1437</v>
      </c>
    </row>
    <row r="381" spans="7:85" x14ac:dyDescent="0.3">
      <c r="G381" s="12" t="s">
        <v>17</v>
      </c>
      <c r="H381" s="12" t="s">
        <v>344</v>
      </c>
      <c r="I381" s="12" t="s">
        <v>907</v>
      </c>
      <c r="J381" s="129" t="str">
        <f t="shared" si="30"/>
        <v>Natural w/Inlay</v>
      </c>
      <c r="K381" s="129"/>
      <c r="L381" s="129"/>
      <c r="AO381" s="14" t="s">
        <v>562</v>
      </c>
      <c r="AP381" s="12" t="s">
        <v>100</v>
      </c>
      <c r="AQ381" s="14" t="s">
        <v>518</v>
      </c>
      <c r="AR381" s="12" t="s">
        <v>954</v>
      </c>
      <c r="AS381" s="129" t="s">
        <v>1343</v>
      </c>
      <c r="BN381" s="154" t="str">
        <f t="shared" si="27"/>
        <v>LF</v>
      </c>
      <c r="BO381" s="12" t="s">
        <v>128</v>
      </c>
      <c r="BP381" s="16" t="s">
        <v>1411</v>
      </c>
      <c r="BQ381" s="244" t="str">
        <f t="shared" si="28"/>
        <v>{[15_16F]:[G2CL]}</v>
      </c>
      <c r="BR381" s="42" t="str">
        <f t="shared" si="29"/>
        <v>Evans G2 Clear Batter</v>
      </c>
      <c r="CC381" s="12" t="s">
        <v>56</v>
      </c>
      <c r="CD381" s="12" t="s">
        <v>125</v>
      </c>
      <c r="CE381" s="77" t="s">
        <v>1411</v>
      </c>
      <c r="CF381" s="244" t="s">
        <v>1731</v>
      </c>
      <c r="CG381" s="42" t="s">
        <v>1437</v>
      </c>
    </row>
    <row r="382" spans="7:85" x14ac:dyDescent="0.3">
      <c r="G382" s="12" t="s">
        <v>17</v>
      </c>
      <c r="H382" s="12" t="s">
        <v>344</v>
      </c>
      <c r="I382" s="12" t="s">
        <v>909</v>
      </c>
      <c r="J382" s="129" t="str">
        <f t="shared" si="30"/>
        <v>Natural w/Accent</v>
      </c>
      <c r="K382" s="129"/>
      <c r="L382" s="129"/>
      <c r="AO382" s="14" t="s">
        <v>562</v>
      </c>
      <c r="AP382" s="12" t="s">
        <v>100</v>
      </c>
      <c r="AQ382" s="14" t="s">
        <v>22</v>
      </c>
      <c r="AR382" s="12" t="s">
        <v>948</v>
      </c>
      <c r="AS382" s="129" t="s">
        <v>1340</v>
      </c>
      <c r="BN382" s="154" t="str">
        <f t="shared" si="27"/>
        <v>LT</v>
      </c>
      <c r="BO382" s="12" t="s">
        <v>183</v>
      </c>
      <c r="BP382" s="16" t="s">
        <v>1411</v>
      </c>
      <c r="BQ382" s="244" t="str">
        <f t="shared" si="28"/>
        <v>{[15_16T]:[G2CL]}</v>
      </c>
      <c r="BR382" s="42" t="str">
        <f t="shared" si="29"/>
        <v>Evans G2 Clear Batter</v>
      </c>
      <c r="CC382" s="12" t="s">
        <v>56</v>
      </c>
      <c r="CD382" s="12" t="s">
        <v>126</v>
      </c>
      <c r="CE382" s="77" t="s">
        <v>1411</v>
      </c>
      <c r="CF382" s="244" t="s">
        <v>1732</v>
      </c>
      <c r="CG382" s="42" t="s">
        <v>1437</v>
      </c>
    </row>
    <row r="383" spans="7:85" x14ac:dyDescent="0.3">
      <c r="G383" s="12" t="s">
        <v>17</v>
      </c>
      <c r="H383" s="12" t="s">
        <v>344</v>
      </c>
      <c r="I383" s="12" t="s">
        <v>313</v>
      </c>
      <c r="J383" s="129" t="str">
        <f t="shared" si="30"/>
        <v>Sable Black</v>
      </c>
      <c r="K383" s="129"/>
      <c r="L383" s="129"/>
      <c r="AO383" s="14" t="s">
        <v>562</v>
      </c>
      <c r="AP383" s="12" t="s">
        <v>100</v>
      </c>
      <c r="AQ383" s="14" t="s">
        <v>22</v>
      </c>
      <c r="AR383" s="12" t="s">
        <v>946</v>
      </c>
      <c r="AS383" s="129" t="s">
        <v>1339</v>
      </c>
      <c r="BN383" s="154" t="str">
        <f t="shared" si="27"/>
        <v>LF</v>
      </c>
      <c r="BO383" s="12" t="s">
        <v>129</v>
      </c>
      <c r="BP383" s="16" t="s">
        <v>1411</v>
      </c>
      <c r="BQ383" s="244" t="str">
        <f t="shared" si="28"/>
        <v>{[16_16F]:[G2CL]}</v>
      </c>
      <c r="BR383" s="42" t="str">
        <f t="shared" si="29"/>
        <v>Evans G2 Clear Batter</v>
      </c>
      <c r="CC383" s="12" t="s">
        <v>56</v>
      </c>
      <c r="CD383" s="12" t="s">
        <v>128</v>
      </c>
      <c r="CE383" s="77" t="s">
        <v>1411</v>
      </c>
      <c r="CF383" s="244" t="s">
        <v>1733</v>
      </c>
      <c r="CG383" s="42" t="s">
        <v>1437</v>
      </c>
    </row>
    <row r="384" spans="7:85" x14ac:dyDescent="0.3">
      <c r="G384" s="12" t="s">
        <v>19</v>
      </c>
      <c r="H384" s="12" t="s">
        <v>344</v>
      </c>
      <c r="I384" s="12" t="s">
        <v>902</v>
      </c>
      <c r="J384" s="129" t="str">
        <f t="shared" si="30"/>
        <v>Satin Sable w/Inlay</v>
      </c>
      <c r="K384" s="129"/>
      <c r="L384" s="129"/>
      <c r="AO384" s="14" t="s">
        <v>562</v>
      </c>
      <c r="AP384" s="12" t="s">
        <v>100</v>
      </c>
      <c r="AQ384" s="14" t="s">
        <v>22</v>
      </c>
      <c r="AR384" s="12" t="s">
        <v>950</v>
      </c>
      <c r="AS384" s="129" t="s">
        <v>1341</v>
      </c>
      <c r="BN384" s="154" t="str">
        <f t="shared" si="27"/>
        <v>LT</v>
      </c>
      <c r="BO384" s="12" t="s">
        <v>184</v>
      </c>
      <c r="BP384" s="16" t="s">
        <v>1411</v>
      </c>
      <c r="BQ384" s="244" t="str">
        <f t="shared" si="28"/>
        <v>{[16_16T]:[G2CL]}</v>
      </c>
      <c r="BR384" s="42" t="str">
        <f t="shared" si="29"/>
        <v>Evans G2 Clear Batter</v>
      </c>
      <c r="CC384" s="12" t="s">
        <v>56</v>
      </c>
      <c r="CD384" s="12" t="s">
        <v>129</v>
      </c>
      <c r="CE384" s="77" t="s">
        <v>1411</v>
      </c>
      <c r="CF384" s="244" t="s">
        <v>1734</v>
      </c>
      <c r="CG384" s="42" t="s">
        <v>1437</v>
      </c>
    </row>
    <row r="385" spans="7:85" x14ac:dyDescent="0.3">
      <c r="G385" s="12" t="s">
        <v>19</v>
      </c>
      <c r="H385" s="12" t="s">
        <v>344</v>
      </c>
      <c r="I385" s="12" t="s">
        <v>904</v>
      </c>
      <c r="J385" s="129" t="str">
        <f t="shared" si="30"/>
        <v>Satin Natural w/Inlay</v>
      </c>
      <c r="K385" s="129"/>
      <c r="L385" s="129"/>
      <c r="AO385" s="14" t="s">
        <v>562</v>
      </c>
      <c r="AP385" s="12" t="s">
        <v>100</v>
      </c>
      <c r="AQ385" s="14" t="s">
        <v>22</v>
      </c>
      <c r="AR385" s="12" t="s">
        <v>954</v>
      </c>
      <c r="AS385" s="129" t="s">
        <v>1343</v>
      </c>
      <c r="BN385" s="154" t="str">
        <f t="shared" si="27"/>
        <v>LF</v>
      </c>
      <c r="BO385" s="12" t="s">
        <v>131</v>
      </c>
      <c r="BP385" s="16" t="s">
        <v>1411</v>
      </c>
      <c r="BQ385" s="244" t="str">
        <f t="shared" si="28"/>
        <v>{[16_18F]:[G2CL]}</v>
      </c>
      <c r="BR385" s="42" t="str">
        <f t="shared" si="29"/>
        <v>Evans G2 Clear Batter</v>
      </c>
      <c r="CC385" s="12" t="s">
        <v>56</v>
      </c>
      <c r="CD385" s="12" t="s">
        <v>131</v>
      </c>
      <c r="CE385" s="77" t="s">
        <v>1411</v>
      </c>
      <c r="CF385" s="244" t="s">
        <v>1735</v>
      </c>
      <c r="CG385" s="42" t="s">
        <v>1437</v>
      </c>
    </row>
    <row r="386" spans="7:85" x14ac:dyDescent="0.3">
      <c r="G386" s="12" t="s">
        <v>19</v>
      </c>
      <c r="H386" s="12" t="s">
        <v>344</v>
      </c>
      <c r="I386" s="12" t="s">
        <v>26</v>
      </c>
      <c r="J386" s="129" t="str">
        <f t="shared" si="30"/>
        <v>Satin Sable</v>
      </c>
      <c r="K386" s="129"/>
      <c r="L386" s="129"/>
      <c r="AO386" s="14" t="s">
        <v>562</v>
      </c>
      <c r="AP386" s="12" t="s">
        <v>439</v>
      </c>
      <c r="AQ386" s="14" t="s">
        <v>518</v>
      </c>
      <c r="AR386" s="12" t="s">
        <v>948</v>
      </c>
      <c r="AS386" s="129" t="s">
        <v>1340</v>
      </c>
      <c r="BN386" s="154" t="str">
        <f t="shared" si="27"/>
        <v>LT</v>
      </c>
      <c r="BO386" s="12" t="s">
        <v>205</v>
      </c>
      <c r="BP386" s="16" t="s">
        <v>1411</v>
      </c>
      <c r="BQ386" s="244" t="str">
        <f t="shared" si="28"/>
        <v>{[16_18T]:[G2CL]}</v>
      </c>
      <c r="BR386" s="42" t="str">
        <f t="shared" si="29"/>
        <v>Evans G2 Clear Batter</v>
      </c>
      <c r="CC386" s="12" t="s">
        <v>76</v>
      </c>
      <c r="CD386" s="12" t="s">
        <v>186</v>
      </c>
      <c r="CE386" s="77" t="s">
        <v>1438</v>
      </c>
      <c r="CF386" s="244" t="s">
        <v>1736</v>
      </c>
      <c r="CG386" s="42" t="s">
        <v>1439</v>
      </c>
    </row>
    <row r="387" spans="7:85" x14ac:dyDescent="0.3">
      <c r="G387" s="12" t="s">
        <v>19</v>
      </c>
      <c r="H387" s="12" t="s">
        <v>344</v>
      </c>
      <c r="I387" s="12" t="s">
        <v>914</v>
      </c>
      <c r="J387" s="129" t="str">
        <f t="shared" si="30"/>
        <v>Satin Sable w/Accent</v>
      </c>
      <c r="K387" s="129"/>
      <c r="L387" s="129"/>
      <c r="AO387" s="14" t="s">
        <v>562</v>
      </c>
      <c r="AP387" s="12" t="s">
        <v>439</v>
      </c>
      <c r="AQ387" s="14" t="s">
        <v>518</v>
      </c>
      <c r="AR387" s="12" t="s">
        <v>950</v>
      </c>
      <c r="AS387" s="129" t="s">
        <v>1341</v>
      </c>
      <c r="CC387" s="12" t="s">
        <v>76</v>
      </c>
      <c r="CD387" s="12" t="s">
        <v>187</v>
      </c>
      <c r="CE387" s="77" t="s">
        <v>1438</v>
      </c>
      <c r="CF387" s="244" t="s">
        <v>1737</v>
      </c>
      <c r="CG387" s="42" t="s">
        <v>1439</v>
      </c>
    </row>
    <row r="388" spans="7:85" x14ac:dyDescent="0.3">
      <c r="G388" s="12" t="s">
        <v>19</v>
      </c>
      <c r="H388" s="12" t="s">
        <v>344</v>
      </c>
      <c r="I388" s="12" t="s">
        <v>321</v>
      </c>
      <c r="J388" s="129" t="str">
        <f t="shared" si="30"/>
        <v>Satin Natural</v>
      </c>
      <c r="K388" s="129"/>
      <c r="L388" s="129"/>
      <c r="AO388" s="14" t="s">
        <v>562</v>
      </c>
      <c r="AP388" s="12" t="s">
        <v>439</v>
      </c>
      <c r="AQ388" s="14" t="s">
        <v>518</v>
      </c>
      <c r="AR388" s="12" t="s">
        <v>954</v>
      </c>
      <c r="AS388" s="129" t="s">
        <v>1343</v>
      </c>
      <c r="CC388" s="12" t="s">
        <v>76</v>
      </c>
      <c r="CD388" s="12" t="s">
        <v>189</v>
      </c>
      <c r="CE388" s="77" t="s">
        <v>1438</v>
      </c>
      <c r="CF388" s="244" t="s">
        <v>1738</v>
      </c>
      <c r="CG388" s="42" t="s">
        <v>1439</v>
      </c>
    </row>
    <row r="389" spans="7:85" x14ac:dyDescent="0.3">
      <c r="G389" s="12" t="s">
        <v>19</v>
      </c>
      <c r="H389" s="12" t="s">
        <v>344</v>
      </c>
      <c r="I389" s="12" t="s">
        <v>912</v>
      </c>
      <c r="J389" s="129" t="str">
        <f t="shared" si="30"/>
        <v>Satin Natural w/Accent</v>
      </c>
      <c r="K389" s="129"/>
      <c r="L389" s="129"/>
      <c r="AO389" s="14" t="s">
        <v>562</v>
      </c>
      <c r="AP389" s="12" t="s">
        <v>439</v>
      </c>
      <c r="AQ389" s="14" t="s">
        <v>22</v>
      </c>
      <c r="AR389" s="12" t="s">
        <v>948</v>
      </c>
      <c r="AS389" s="129" t="s">
        <v>1340</v>
      </c>
      <c r="CC389" s="12" t="s">
        <v>76</v>
      </c>
      <c r="CD389" s="12" t="s">
        <v>524</v>
      </c>
      <c r="CE389" s="77" t="s">
        <v>1438</v>
      </c>
      <c r="CF389" s="244" t="s">
        <v>1739</v>
      </c>
      <c r="CG389" s="42" t="s">
        <v>1439</v>
      </c>
    </row>
    <row r="390" spans="7:85" x14ac:dyDescent="0.3">
      <c r="G390" s="12" t="s">
        <v>19</v>
      </c>
      <c r="H390" s="12" t="s">
        <v>344</v>
      </c>
      <c r="I390" s="12" t="s">
        <v>309</v>
      </c>
      <c r="J390" s="129" t="str">
        <f t="shared" si="30"/>
        <v>Natural Hoop</v>
      </c>
      <c r="K390" s="129"/>
      <c r="L390" s="129"/>
      <c r="AO390" s="14" t="s">
        <v>562</v>
      </c>
      <c r="AP390" s="12" t="s">
        <v>439</v>
      </c>
      <c r="AQ390" s="14" t="s">
        <v>22</v>
      </c>
      <c r="AR390" s="12" t="s">
        <v>950</v>
      </c>
      <c r="AS390" s="129" t="s">
        <v>1341</v>
      </c>
      <c r="CC390" s="12" t="s">
        <v>76</v>
      </c>
      <c r="CD390" s="12" t="s">
        <v>191</v>
      </c>
      <c r="CE390" s="77" t="s">
        <v>1438</v>
      </c>
      <c r="CF390" s="244" t="s">
        <v>1740</v>
      </c>
      <c r="CG390" s="42" t="s">
        <v>1439</v>
      </c>
    </row>
    <row r="391" spans="7:85" x14ac:dyDescent="0.3">
      <c r="G391" s="12" t="s">
        <v>19</v>
      </c>
      <c r="H391" s="12" t="s">
        <v>344</v>
      </c>
      <c r="I391" s="12" t="s">
        <v>313</v>
      </c>
      <c r="J391" s="129" t="str">
        <f t="shared" si="30"/>
        <v>Sable Black</v>
      </c>
      <c r="K391" s="129"/>
      <c r="L391" s="129"/>
      <c r="AO391" s="14" t="s">
        <v>562</v>
      </c>
      <c r="AP391" s="12" t="s">
        <v>439</v>
      </c>
      <c r="AQ391" s="14" t="s">
        <v>22</v>
      </c>
      <c r="AR391" s="12" t="s">
        <v>954</v>
      </c>
      <c r="AS391" s="129" t="s">
        <v>1343</v>
      </c>
      <c r="CC391" s="12" t="s">
        <v>76</v>
      </c>
      <c r="CD391" s="12" t="s">
        <v>196</v>
      </c>
      <c r="CE391" s="77" t="s">
        <v>1438</v>
      </c>
      <c r="CF391" s="244" t="s">
        <v>1741</v>
      </c>
      <c r="CG391" s="42" t="s">
        <v>1439</v>
      </c>
    </row>
    <row r="392" spans="7:85" x14ac:dyDescent="0.3">
      <c r="G392" s="12" t="s">
        <v>15</v>
      </c>
      <c r="H392" s="12" t="s">
        <v>298</v>
      </c>
      <c r="I392" s="12" t="s">
        <v>60</v>
      </c>
      <c r="J392" s="129" t="str">
        <f t="shared" si="30"/>
        <v>Matching Hoop</v>
      </c>
      <c r="K392" s="129"/>
      <c r="L392" s="129"/>
      <c r="AO392" s="14" t="s">
        <v>562</v>
      </c>
      <c r="AP392" s="12" t="s">
        <v>51</v>
      </c>
      <c r="AQ392" s="14" t="s">
        <v>518</v>
      </c>
      <c r="AR392" s="12" t="s">
        <v>946</v>
      </c>
      <c r="AS392" s="129" t="s">
        <v>1339</v>
      </c>
      <c r="CC392" s="12" t="s">
        <v>76</v>
      </c>
      <c r="CD392" s="12" t="s">
        <v>192</v>
      </c>
      <c r="CE392" s="77" t="s">
        <v>1438</v>
      </c>
      <c r="CF392" s="244" t="s">
        <v>1742</v>
      </c>
      <c r="CG392" s="42" t="s">
        <v>1439</v>
      </c>
    </row>
    <row r="393" spans="7:85" x14ac:dyDescent="0.3">
      <c r="G393" s="12" t="s">
        <v>15</v>
      </c>
      <c r="H393" s="12" t="s">
        <v>298</v>
      </c>
      <c r="I393" s="105" t="s">
        <v>1259</v>
      </c>
      <c r="J393" s="129" t="str">
        <f t="shared" si="30"/>
        <v>Matching Hoop w/Accent</v>
      </c>
      <c r="K393" s="129"/>
      <c r="L393" s="129"/>
      <c r="AO393" s="14" t="s">
        <v>562</v>
      </c>
      <c r="AP393" s="12" t="s">
        <v>51</v>
      </c>
      <c r="AQ393" s="14" t="s">
        <v>518</v>
      </c>
      <c r="AR393" s="12" t="s">
        <v>950</v>
      </c>
      <c r="AS393" s="129" t="s">
        <v>1341</v>
      </c>
      <c r="CC393" s="12" t="s">
        <v>76</v>
      </c>
      <c r="CD393" s="12" t="s">
        <v>197</v>
      </c>
      <c r="CE393" s="77" t="s">
        <v>1438</v>
      </c>
      <c r="CF393" s="244" t="s">
        <v>1743</v>
      </c>
      <c r="CG393" s="42" t="s">
        <v>1439</v>
      </c>
    </row>
    <row r="394" spans="7:85" x14ac:dyDescent="0.3">
      <c r="G394" s="12" t="s">
        <v>15</v>
      </c>
      <c r="H394" s="12" t="s">
        <v>298</v>
      </c>
      <c r="I394" s="12" t="s">
        <v>309</v>
      </c>
      <c r="J394" s="129" t="str">
        <f t="shared" si="30"/>
        <v>Natural Hoop</v>
      </c>
      <c r="K394" s="129"/>
      <c r="L394" s="129"/>
      <c r="AO394" s="14" t="s">
        <v>562</v>
      </c>
      <c r="AP394" s="12" t="s">
        <v>51</v>
      </c>
      <c r="AQ394" s="14" t="s">
        <v>518</v>
      </c>
      <c r="AR394" s="12" t="s">
        <v>954</v>
      </c>
      <c r="AS394" s="129" t="s">
        <v>1343</v>
      </c>
      <c r="CC394" s="12" t="s">
        <v>76</v>
      </c>
      <c r="CD394" s="12" t="s">
        <v>193</v>
      </c>
      <c r="CE394" s="77" t="s">
        <v>1438</v>
      </c>
      <c r="CF394" s="244" t="s">
        <v>1744</v>
      </c>
      <c r="CG394" s="42" t="s">
        <v>1439</v>
      </c>
    </row>
    <row r="395" spans="7:85" x14ac:dyDescent="0.3">
      <c r="G395" s="16" t="s">
        <v>16</v>
      </c>
      <c r="H395" s="12" t="s">
        <v>298</v>
      </c>
      <c r="I395" s="12" t="s">
        <v>60</v>
      </c>
      <c r="J395" s="129" t="str">
        <f t="shared" si="30"/>
        <v>Matching Hoop</v>
      </c>
      <c r="K395" s="129"/>
      <c r="L395" s="129"/>
      <c r="AO395" s="14" t="s">
        <v>562</v>
      </c>
      <c r="AP395" s="12" t="s">
        <v>51</v>
      </c>
      <c r="AQ395" s="14" t="s">
        <v>22</v>
      </c>
      <c r="AR395" s="12" t="s">
        <v>946</v>
      </c>
      <c r="AS395" s="129" t="s">
        <v>1339</v>
      </c>
      <c r="CC395" s="12" t="s">
        <v>76</v>
      </c>
      <c r="CD395" s="12" t="s">
        <v>198</v>
      </c>
      <c r="CE395" s="77" t="s">
        <v>1438</v>
      </c>
      <c r="CF395" s="244" t="s">
        <v>1745</v>
      </c>
      <c r="CG395" s="42" t="s">
        <v>1439</v>
      </c>
    </row>
    <row r="396" spans="7:85" x14ac:dyDescent="0.3">
      <c r="G396" s="16" t="s">
        <v>16</v>
      </c>
      <c r="H396" s="12" t="s">
        <v>298</v>
      </c>
      <c r="I396" s="105" t="s">
        <v>1259</v>
      </c>
      <c r="J396" s="129" t="str">
        <f t="shared" si="30"/>
        <v>Matching Hoop w/Accent</v>
      </c>
      <c r="K396" s="129"/>
      <c r="L396" s="129"/>
      <c r="AO396" s="14" t="s">
        <v>562</v>
      </c>
      <c r="AP396" s="12" t="s">
        <v>51</v>
      </c>
      <c r="AQ396" s="14" t="s">
        <v>22</v>
      </c>
      <c r="AR396" s="12" t="s">
        <v>950</v>
      </c>
      <c r="AS396" s="129" t="s">
        <v>1341</v>
      </c>
      <c r="CC396" s="12" t="s">
        <v>76</v>
      </c>
      <c r="CD396" s="12" t="s">
        <v>194</v>
      </c>
      <c r="CE396" s="77" t="s">
        <v>1438</v>
      </c>
      <c r="CF396" s="244" t="s">
        <v>1746</v>
      </c>
      <c r="CG396" s="42" t="s">
        <v>1439</v>
      </c>
    </row>
    <row r="397" spans="7:85" x14ac:dyDescent="0.3">
      <c r="G397" s="16" t="s">
        <v>16</v>
      </c>
      <c r="H397" s="12" t="s">
        <v>298</v>
      </c>
      <c r="I397" s="12" t="s">
        <v>309</v>
      </c>
      <c r="J397" s="129" t="str">
        <f t="shared" si="30"/>
        <v>Natural Hoop</v>
      </c>
      <c r="K397" s="129"/>
      <c r="L397" s="129"/>
      <c r="AO397" s="14" t="s">
        <v>562</v>
      </c>
      <c r="AP397" s="12" t="s">
        <v>51</v>
      </c>
      <c r="AQ397" s="14" t="s">
        <v>22</v>
      </c>
      <c r="AR397" s="12" t="s">
        <v>954</v>
      </c>
      <c r="AS397" s="129" t="s">
        <v>1343</v>
      </c>
      <c r="CC397" s="12" t="s">
        <v>76</v>
      </c>
      <c r="CD397" s="12" t="s">
        <v>203</v>
      </c>
      <c r="CE397" s="77" t="s">
        <v>1438</v>
      </c>
      <c r="CF397" s="244" t="s">
        <v>1747</v>
      </c>
      <c r="CG397" s="42" t="s">
        <v>1439</v>
      </c>
    </row>
    <row r="398" spans="7:85" x14ac:dyDescent="0.3">
      <c r="G398" s="12" t="s">
        <v>15</v>
      </c>
      <c r="H398" s="12" t="s">
        <v>346</v>
      </c>
      <c r="I398" s="12" t="s">
        <v>902</v>
      </c>
      <c r="J398" s="129" t="str">
        <f t="shared" si="30"/>
        <v>Satin Sable w/Inlay</v>
      </c>
      <c r="K398" s="129"/>
      <c r="L398" s="129"/>
      <c r="AO398" s="14" t="s">
        <v>562</v>
      </c>
      <c r="AP398" s="12" t="s">
        <v>62</v>
      </c>
      <c r="AQ398" s="14" t="s">
        <v>518</v>
      </c>
      <c r="AR398" s="12" t="s">
        <v>946</v>
      </c>
      <c r="AS398" s="129" t="s">
        <v>1339</v>
      </c>
      <c r="CC398" s="12" t="s">
        <v>76</v>
      </c>
      <c r="CD398" s="12" t="s">
        <v>190</v>
      </c>
      <c r="CE398" s="77" t="s">
        <v>1438</v>
      </c>
      <c r="CF398" s="244" t="s">
        <v>1748</v>
      </c>
      <c r="CG398" s="42" t="s">
        <v>1439</v>
      </c>
    </row>
    <row r="399" spans="7:85" x14ac:dyDescent="0.3">
      <c r="G399" s="12" t="s">
        <v>15</v>
      </c>
      <c r="H399" s="12" t="s">
        <v>346</v>
      </c>
      <c r="I399" s="12" t="s">
        <v>904</v>
      </c>
      <c r="J399" s="129" t="str">
        <f t="shared" si="30"/>
        <v>Satin Natural w/Inlay</v>
      </c>
      <c r="K399" s="129"/>
      <c r="L399" s="129"/>
      <c r="AO399" s="14" t="s">
        <v>562</v>
      </c>
      <c r="AP399" s="12" t="s">
        <v>62</v>
      </c>
      <c r="AQ399" s="14" t="s">
        <v>518</v>
      </c>
      <c r="AR399" s="12" t="s">
        <v>950</v>
      </c>
      <c r="AS399" s="129" t="s">
        <v>1341</v>
      </c>
      <c r="CC399" s="12" t="s">
        <v>76</v>
      </c>
      <c r="CD399" s="12" t="s">
        <v>195</v>
      </c>
      <c r="CE399" s="77" t="s">
        <v>1438</v>
      </c>
      <c r="CF399" s="244" t="s">
        <v>1749</v>
      </c>
      <c r="CG399" s="42" t="s">
        <v>1439</v>
      </c>
    </row>
    <row r="400" spans="7:85" x14ac:dyDescent="0.3">
      <c r="G400" s="12" t="s">
        <v>15</v>
      </c>
      <c r="H400" s="12" t="s">
        <v>346</v>
      </c>
      <c r="I400" s="12" t="s">
        <v>26</v>
      </c>
      <c r="J400" s="129" t="str">
        <f t="shared" si="30"/>
        <v>Satin Sable</v>
      </c>
      <c r="K400" s="129"/>
      <c r="L400" s="129"/>
      <c r="AO400" s="14" t="s">
        <v>562</v>
      </c>
      <c r="AP400" s="12" t="s">
        <v>62</v>
      </c>
      <c r="AQ400" s="14" t="s">
        <v>518</v>
      </c>
      <c r="AR400" s="12" t="s">
        <v>954</v>
      </c>
      <c r="AS400" s="129" t="s">
        <v>1343</v>
      </c>
      <c r="CC400" s="12" t="s">
        <v>55</v>
      </c>
      <c r="CD400" s="12" t="s">
        <v>45</v>
      </c>
      <c r="CE400" s="77" t="s">
        <v>1420</v>
      </c>
      <c r="CF400" s="244" t="s">
        <v>1750</v>
      </c>
      <c r="CG400" s="42" t="s">
        <v>1421</v>
      </c>
    </row>
    <row r="401" spans="7:85" x14ac:dyDescent="0.3">
      <c r="G401" s="12" t="s">
        <v>15</v>
      </c>
      <c r="H401" s="12" t="s">
        <v>346</v>
      </c>
      <c r="I401" s="12" t="s">
        <v>914</v>
      </c>
      <c r="J401" s="129" t="str">
        <f t="shared" si="30"/>
        <v>Satin Sable w/Accent</v>
      </c>
      <c r="K401" s="129"/>
      <c r="L401" s="129"/>
      <c r="AO401" s="14" t="s">
        <v>562</v>
      </c>
      <c r="AP401" s="12" t="s">
        <v>62</v>
      </c>
      <c r="AQ401" s="14" t="s">
        <v>22</v>
      </c>
      <c r="AR401" s="12" t="s">
        <v>946</v>
      </c>
      <c r="AS401" s="129" t="s">
        <v>1339</v>
      </c>
      <c r="CC401" s="12" t="s">
        <v>55</v>
      </c>
      <c r="CD401" s="12" t="s">
        <v>49</v>
      </c>
      <c r="CE401" s="77" t="s">
        <v>1420</v>
      </c>
      <c r="CF401" s="244" t="s">
        <v>1751</v>
      </c>
      <c r="CG401" s="42" t="s">
        <v>1421</v>
      </c>
    </row>
    <row r="402" spans="7:85" x14ac:dyDescent="0.3">
      <c r="G402" s="12" t="s">
        <v>15</v>
      </c>
      <c r="H402" s="12" t="s">
        <v>346</v>
      </c>
      <c r="I402" s="12" t="s">
        <v>321</v>
      </c>
      <c r="J402" s="129" t="str">
        <f t="shared" si="30"/>
        <v>Satin Natural</v>
      </c>
      <c r="K402" s="129"/>
      <c r="L402" s="129"/>
      <c r="AO402" s="14" t="s">
        <v>562</v>
      </c>
      <c r="AP402" s="12" t="s">
        <v>62</v>
      </c>
      <c r="AQ402" s="14" t="s">
        <v>22</v>
      </c>
      <c r="AR402" s="12" t="s">
        <v>950</v>
      </c>
      <c r="AS402" s="129" t="s">
        <v>1341</v>
      </c>
      <c r="CC402" s="12" t="s">
        <v>55</v>
      </c>
      <c r="CD402" s="12" t="s">
        <v>51</v>
      </c>
      <c r="CE402" s="77" t="s">
        <v>1420</v>
      </c>
      <c r="CF402" s="244" t="s">
        <v>1752</v>
      </c>
      <c r="CG402" s="42" t="s">
        <v>1421</v>
      </c>
    </row>
    <row r="403" spans="7:85" x14ac:dyDescent="0.3">
      <c r="G403" s="12" t="s">
        <v>15</v>
      </c>
      <c r="H403" s="12" t="s">
        <v>346</v>
      </c>
      <c r="I403" s="12" t="s">
        <v>912</v>
      </c>
      <c r="J403" s="129" t="str">
        <f t="shared" si="30"/>
        <v>Satin Natural w/Accent</v>
      </c>
      <c r="K403" s="129"/>
      <c r="L403" s="129"/>
      <c r="AO403" s="14" t="s">
        <v>562</v>
      </c>
      <c r="AP403" s="12" t="s">
        <v>62</v>
      </c>
      <c r="AQ403" s="14" t="s">
        <v>22</v>
      </c>
      <c r="AR403" s="12" t="s">
        <v>954</v>
      </c>
      <c r="AS403" s="129" t="s">
        <v>1343</v>
      </c>
      <c r="CC403" s="12" t="s">
        <v>55</v>
      </c>
      <c r="CD403" s="12" t="s">
        <v>54</v>
      </c>
      <c r="CE403" s="77" t="s">
        <v>1420</v>
      </c>
      <c r="CF403" s="244" t="s">
        <v>1753</v>
      </c>
      <c r="CG403" s="42" t="s">
        <v>1421</v>
      </c>
    </row>
    <row r="404" spans="7:85" x14ac:dyDescent="0.3">
      <c r="G404" s="12" t="s">
        <v>15</v>
      </c>
      <c r="H404" s="12" t="s">
        <v>346</v>
      </c>
      <c r="I404" s="12" t="s">
        <v>309</v>
      </c>
      <c r="J404" s="129" t="str">
        <f t="shared" ref="J404:J467" si="31">INDEX($C$3:$C$15,MATCH(I404,$B$3:$B$15,0))</f>
        <v>Natural Hoop</v>
      </c>
      <c r="K404" s="129"/>
      <c r="L404" s="129"/>
      <c r="AO404" s="14" t="s">
        <v>562</v>
      </c>
      <c r="AP404" s="12" t="s">
        <v>74</v>
      </c>
      <c r="AQ404" s="14" t="s">
        <v>518</v>
      </c>
      <c r="AR404" s="12" t="s">
        <v>948</v>
      </c>
      <c r="AS404" s="129" t="s">
        <v>1340</v>
      </c>
      <c r="CC404" s="12" t="s">
        <v>55</v>
      </c>
      <c r="CD404" s="12" t="s">
        <v>58</v>
      </c>
      <c r="CE404" s="77" t="s">
        <v>1420</v>
      </c>
      <c r="CF404" s="244" t="s">
        <v>1754</v>
      </c>
      <c r="CG404" s="42" t="s">
        <v>1421</v>
      </c>
    </row>
    <row r="405" spans="7:85" x14ac:dyDescent="0.3">
      <c r="G405" s="12" t="s">
        <v>15</v>
      </c>
      <c r="H405" s="12" t="s">
        <v>346</v>
      </c>
      <c r="I405" s="12" t="s">
        <v>907</v>
      </c>
      <c r="J405" s="129" t="str">
        <f t="shared" si="31"/>
        <v>Natural w/Inlay</v>
      </c>
      <c r="K405" s="129"/>
      <c r="L405" s="129"/>
      <c r="AO405" s="14" t="s">
        <v>562</v>
      </c>
      <c r="AP405" s="12" t="s">
        <v>74</v>
      </c>
      <c r="AQ405" s="14" t="s">
        <v>518</v>
      </c>
      <c r="AR405" s="12" t="s">
        <v>946</v>
      </c>
      <c r="AS405" s="129" t="s">
        <v>1339</v>
      </c>
      <c r="CC405" s="12" t="s">
        <v>55</v>
      </c>
      <c r="CD405" s="12" t="s">
        <v>62</v>
      </c>
      <c r="CE405" s="77" t="s">
        <v>1420</v>
      </c>
      <c r="CF405" s="244" t="s">
        <v>1755</v>
      </c>
      <c r="CG405" s="42" t="s">
        <v>1421</v>
      </c>
    </row>
    <row r="406" spans="7:85" x14ac:dyDescent="0.3">
      <c r="G406" s="12" t="s">
        <v>15</v>
      </c>
      <c r="H406" s="12" t="s">
        <v>346</v>
      </c>
      <c r="I406" s="12" t="s">
        <v>909</v>
      </c>
      <c r="J406" s="129" t="str">
        <f t="shared" si="31"/>
        <v>Natural w/Accent</v>
      </c>
      <c r="K406" s="129"/>
      <c r="L406" s="129"/>
      <c r="AO406" s="14" t="s">
        <v>562</v>
      </c>
      <c r="AP406" s="12" t="s">
        <v>74</v>
      </c>
      <c r="AQ406" s="14" t="s">
        <v>518</v>
      </c>
      <c r="AR406" s="12" t="s">
        <v>950</v>
      </c>
      <c r="AS406" s="129" t="s">
        <v>1341</v>
      </c>
      <c r="CC406" s="12" t="s">
        <v>55</v>
      </c>
      <c r="CD406" s="12" t="s">
        <v>64</v>
      </c>
      <c r="CE406" s="77" t="s">
        <v>1420</v>
      </c>
      <c r="CF406" s="244" t="s">
        <v>1756</v>
      </c>
      <c r="CG406" s="42" t="s">
        <v>1421</v>
      </c>
    </row>
    <row r="407" spans="7:85" x14ac:dyDescent="0.3">
      <c r="G407" s="12" t="s">
        <v>15</v>
      </c>
      <c r="H407" s="12" t="s">
        <v>346</v>
      </c>
      <c r="I407" s="12" t="s">
        <v>313</v>
      </c>
      <c r="J407" s="129" t="str">
        <f t="shared" si="31"/>
        <v>Sable Black</v>
      </c>
      <c r="K407" s="129"/>
      <c r="L407" s="129"/>
      <c r="AO407" s="14" t="s">
        <v>562</v>
      </c>
      <c r="AP407" s="12" t="s">
        <v>74</v>
      </c>
      <c r="AQ407" s="14" t="s">
        <v>518</v>
      </c>
      <c r="AR407" s="12" t="s">
        <v>954</v>
      </c>
      <c r="AS407" s="129" t="s">
        <v>1343</v>
      </c>
      <c r="CC407" s="12" t="s">
        <v>55</v>
      </c>
      <c r="CD407" s="12" t="s">
        <v>68</v>
      </c>
      <c r="CE407" s="77" t="s">
        <v>1420</v>
      </c>
      <c r="CF407" s="244" t="s">
        <v>1757</v>
      </c>
      <c r="CG407" s="42" t="s">
        <v>1421</v>
      </c>
    </row>
    <row r="408" spans="7:85" x14ac:dyDescent="0.3">
      <c r="G408" s="12" t="s">
        <v>16</v>
      </c>
      <c r="H408" s="12" t="s">
        <v>346</v>
      </c>
      <c r="I408" s="12" t="s">
        <v>902</v>
      </c>
      <c r="J408" s="129" t="str">
        <f t="shared" si="31"/>
        <v>Satin Sable w/Inlay</v>
      </c>
      <c r="K408" s="129"/>
      <c r="L408" s="129"/>
      <c r="AO408" s="14" t="s">
        <v>562</v>
      </c>
      <c r="AP408" s="12" t="s">
        <v>74</v>
      </c>
      <c r="AQ408" s="14" t="s">
        <v>22</v>
      </c>
      <c r="AR408" s="12" t="s">
        <v>948</v>
      </c>
      <c r="AS408" s="129" t="s">
        <v>1340</v>
      </c>
      <c r="CC408" s="12" t="s">
        <v>55</v>
      </c>
      <c r="CD408" s="12" t="s">
        <v>67</v>
      </c>
      <c r="CE408" s="77" t="s">
        <v>1420</v>
      </c>
      <c r="CF408" s="244" t="s">
        <v>1758</v>
      </c>
      <c r="CG408" s="42" t="s">
        <v>1421</v>
      </c>
    </row>
    <row r="409" spans="7:85" x14ac:dyDescent="0.3">
      <c r="G409" s="12" t="s">
        <v>16</v>
      </c>
      <c r="H409" s="12" t="s">
        <v>346</v>
      </c>
      <c r="I409" s="12" t="s">
        <v>904</v>
      </c>
      <c r="J409" s="129" t="str">
        <f t="shared" si="31"/>
        <v>Satin Natural w/Inlay</v>
      </c>
      <c r="K409" s="129"/>
      <c r="L409" s="129"/>
      <c r="AO409" s="14" t="s">
        <v>562</v>
      </c>
      <c r="AP409" s="12" t="s">
        <v>74</v>
      </c>
      <c r="AQ409" s="14" t="s">
        <v>22</v>
      </c>
      <c r="AR409" s="12" t="s">
        <v>946</v>
      </c>
      <c r="AS409" s="129" t="s">
        <v>1339</v>
      </c>
      <c r="CC409" s="12" t="s">
        <v>55</v>
      </c>
      <c r="CD409" s="12" t="s">
        <v>71</v>
      </c>
      <c r="CE409" s="77" t="s">
        <v>1420</v>
      </c>
      <c r="CF409" s="244" t="s">
        <v>1759</v>
      </c>
      <c r="CG409" s="42" t="s">
        <v>1421</v>
      </c>
    </row>
    <row r="410" spans="7:85" x14ac:dyDescent="0.3">
      <c r="G410" s="12" t="s">
        <v>16</v>
      </c>
      <c r="H410" s="12" t="s">
        <v>346</v>
      </c>
      <c r="I410" s="12" t="s">
        <v>26</v>
      </c>
      <c r="J410" s="129" t="str">
        <f t="shared" si="31"/>
        <v>Satin Sable</v>
      </c>
      <c r="K410" s="129"/>
      <c r="L410" s="129"/>
      <c r="AO410" s="14" t="s">
        <v>562</v>
      </c>
      <c r="AP410" s="12" t="s">
        <v>74</v>
      </c>
      <c r="AQ410" s="14" t="s">
        <v>22</v>
      </c>
      <c r="AR410" s="12" t="s">
        <v>950</v>
      </c>
      <c r="AS410" s="129" t="s">
        <v>1341</v>
      </c>
      <c r="CC410" s="12" t="s">
        <v>55</v>
      </c>
      <c r="CD410" s="12" t="s">
        <v>74</v>
      </c>
      <c r="CE410" s="77" t="s">
        <v>1420</v>
      </c>
      <c r="CF410" s="244" t="s">
        <v>1760</v>
      </c>
      <c r="CG410" s="42" t="s">
        <v>1421</v>
      </c>
    </row>
    <row r="411" spans="7:85" x14ac:dyDescent="0.3">
      <c r="G411" s="12" t="s">
        <v>16</v>
      </c>
      <c r="H411" s="12" t="s">
        <v>346</v>
      </c>
      <c r="I411" s="12" t="s">
        <v>914</v>
      </c>
      <c r="J411" s="129" t="str">
        <f t="shared" si="31"/>
        <v>Satin Sable w/Accent</v>
      </c>
      <c r="K411" s="129"/>
      <c r="L411" s="129"/>
      <c r="AO411" s="14" t="s">
        <v>562</v>
      </c>
      <c r="AP411" s="12" t="s">
        <v>74</v>
      </c>
      <c r="AQ411" s="14" t="s">
        <v>22</v>
      </c>
      <c r="AR411" s="12" t="s">
        <v>954</v>
      </c>
      <c r="AS411" s="129" t="s">
        <v>1343</v>
      </c>
      <c r="CC411" s="12" t="s">
        <v>55</v>
      </c>
      <c r="CD411" s="12" t="s">
        <v>77</v>
      </c>
      <c r="CE411" s="77" t="s">
        <v>1420</v>
      </c>
      <c r="CF411" s="244" t="s">
        <v>1761</v>
      </c>
      <c r="CG411" s="42" t="s">
        <v>1421</v>
      </c>
    </row>
    <row r="412" spans="7:85" x14ac:dyDescent="0.3">
      <c r="G412" s="12" t="s">
        <v>16</v>
      </c>
      <c r="H412" s="12" t="s">
        <v>346</v>
      </c>
      <c r="I412" s="12" t="s">
        <v>321</v>
      </c>
      <c r="J412" s="129" t="str">
        <f t="shared" si="31"/>
        <v>Satin Natural</v>
      </c>
      <c r="K412" s="129"/>
      <c r="L412" s="129"/>
      <c r="AO412" s="14" t="s">
        <v>562</v>
      </c>
      <c r="AP412" s="12" t="s">
        <v>88</v>
      </c>
      <c r="AQ412" s="14" t="s">
        <v>518</v>
      </c>
      <c r="AR412" s="12" t="s">
        <v>948</v>
      </c>
      <c r="AS412" s="129" t="s">
        <v>1340</v>
      </c>
      <c r="CC412" s="12" t="s">
        <v>55</v>
      </c>
      <c r="CD412" s="12" t="s">
        <v>81</v>
      </c>
      <c r="CE412" s="77" t="s">
        <v>1420</v>
      </c>
      <c r="CF412" s="244" t="s">
        <v>1762</v>
      </c>
      <c r="CG412" s="42" t="s">
        <v>1421</v>
      </c>
    </row>
    <row r="413" spans="7:85" x14ac:dyDescent="0.3">
      <c r="G413" s="12" t="s">
        <v>16</v>
      </c>
      <c r="H413" s="12" t="s">
        <v>346</v>
      </c>
      <c r="I413" s="12" t="s">
        <v>912</v>
      </c>
      <c r="J413" s="129" t="str">
        <f t="shared" si="31"/>
        <v>Satin Natural w/Accent</v>
      </c>
      <c r="K413" s="129"/>
      <c r="L413" s="129"/>
      <c r="AO413" s="14" t="s">
        <v>562</v>
      </c>
      <c r="AP413" s="12" t="s">
        <v>88</v>
      </c>
      <c r="AQ413" s="14" t="s">
        <v>518</v>
      </c>
      <c r="AR413" s="12" t="s">
        <v>946</v>
      </c>
      <c r="AS413" s="129" t="s">
        <v>1339</v>
      </c>
      <c r="CC413" s="12" t="s">
        <v>55</v>
      </c>
      <c r="CD413" s="12" t="s">
        <v>83</v>
      </c>
      <c r="CE413" s="77" t="s">
        <v>1420</v>
      </c>
      <c r="CF413" s="244" t="s">
        <v>1763</v>
      </c>
      <c r="CG413" s="42" t="s">
        <v>1421</v>
      </c>
    </row>
    <row r="414" spans="7:85" x14ac:dyDescent="0.3">
      <c r="G414" s="12" t="s">
        <v>16</v>
      </c>
      <c r="H414" s="12" t="s">
        <v>346</v>
      </c>
      <c r="I414" s="12" t="s">
        <v>309</v>
      </c>
      <c r="J414" s="129" t="str">
        <f t="shared" si="31"/>
        <v>Natural Hoop</v>
      </c>
      <c r="K414" s="129"/>
      <c r="L414" s="129"/>
      <c r="AO414" s="14" t="s">
        <v>562</v>
      </c>
      <c r="AP414" s="12" t="s">
        <v>88</v>
      </c>
      <c r="AQ414" s="14" t="s">
        <v>518</v>
      </c>
      <c r="AR414" s="12" t="s">
        <v>950</v>
      </c>
      <c r="AS414" s="129" t="s">
        <v>1341</v>
      </c>
      <c r="CC414" s="12" t="s">
        <v>55</v>
      </c>
      <c r="CD414" s="12" t="s">
        <v>85</v>
      </c>
      <c r="CE414" s="77" t="s">
        <v>1420</v>
      </c>
      <c r="CF414" s="244" t="s">
        <v>1764</v>
      </c>
      <c r="CG414" s="42" t="s">
        <v>1421</v>
      </c>
    </row>
    <row r="415" spans="7:85" x14ac:dyDescent="0.3">
      <c r="G415" s="12" t="s">
        <v>16</v>
      </c>
      <c r="H415" s="12" t="s">
        <v>346</v>
      </c>
      <c r="I415" s="12" t="s">
        <v>907</v>
      </c>
      <c r="J415" s="129" t="str">
        <f t="shared" si="31"/>
        <v>Natural w/Inlay</v>
      </c>
      <c r="K415" s="129"/>
      <c r="L415" s="129"/>
      <c r="AO415" s="14" t="s">
        <v>562</v>
      </c>
      <c r="AP415" s="12" t="s">
        <v>88</v>
      </c>
      <c r="AQ415" s="14" t="s">
        <v>518</v>
      </c>
      <c r="AR415" s="12" t="s">
        <v>954</v>
      </c>
      <c r="AS415" s="129" t="s">
        <v>1343</v>
      </c>
      <c r="CC415" s="12" t="s">
        <v>55</v>
      </c>
      <c r="CD415" s="12" t="s">
        <v>88</v>
      </c>
      <c r="CE415" s="77" t="s">
        <v>1420</v>
      </c>
      <c r="CF415" s="244" t="s">
        <v>1765</v>
      </c>
      <c r="CG415" s="42" t="s">
        <v>1421</v>
      </c>
    </row>
    <row r="416" spans="7:85" x14ac:dyDescent="0.3">
      <c r="G416" s="12" t="s">
        <v>16</v>
      </c>
      <c r="H416" s="12" t="s">
        <v>346</v>
      </c>
      <c r="I416" s="12" t="s">
        <v>909</v>
      </c>
      <c r="J416" s="129" t="str">
        <f t="shared" si="31"/>
        <v>Natural w/Accent</v>
      </c>
      <c r="K416" s="129"/>
      <c r="L416" s="129"/>
      <c r="AO416" s="14" t="s">
        <v>562</v>
      </c>
      <c r="AP416" s="12" t="s">
        <v>88</v>
      </c>
      <c r="AQ416" s="14" t="s">
        <v>22</v>
      </c>
      <c r="AR416" s="12" t="s">
        <v>948</v>
      </c>
      <c r="AS416" s="129" t="s">
        <v>1340</v>
      </c>
      <c r="CC416" s="12" t="s">
        <v>55</v>
      </c>
      <c r="CD416" s="12" t="s">
        <v>90</v>
      </c>
      <c r="CE416" s="77" t="s">
        <v>1420</v>
      </c>
      <c r="CF416" s="244" t="s">
        <v>1766</v>
      </c>
      <c r="CG416" s="42" t="s">
        <v>1421</v>
      </c>
    </row>
    <row r="417" spans="7:85" x14ac:dyDescent="0.3">
      <c r="G417" s="12" t="s">
        <v>16</v>
      </c>
      <c r="H417" s="12" t="s">
        <v>346</v>
      </c>
      <c r="I417" s="12" t="s">
        <v>313</v>
      </c>
      <c r="J417" s="129" t="str">
        <f t="shared" si="31"/>
        <v>Sable Black</v>
      </c>
      <c r="K417" s="129"/>
      <c r="L417" s="129"/>
      <c r="AO417" s="14" t="s">
        <v>562</v>
      </c>
      <c r="AP417" s="12" t="s">
        <v>88</v>
      </c>
      <c r="AQ417" s="14" t="s">
        <v>22</v>
      </c>
      <c r="AR417" s="12" t="s">
        <v>946</v>
      </c>
      <c r="AS417" s="129" t="s">
        <v>1339</v>
      </c>
      <c r="CC417" s="12" t="s">
        <v>55</v>
      </c>
      <c r="CD417" s="12" t="s">
        <v>93</v>
      </c>
      <c r="CE417" s="77" t="s">
        <v>1420</v>
      </c>
      <c r="CF417" s="244" t="s">
        <v>1767</v>
      </c>
      <c r="CG417" s="42" t="s">
        <v>1421</v>
      </c>
    </row>
    <row r="418" spans="7:85" x14ac:dyDescent="0.3">
      <c r="G418" s="12" t="s">
        <v>17</v>
      </c>
      <c r="H418" s="12" t="s">
        <v>346</v>
      </c>
      <c r="I418" s="12" t="s">
        <v>902</v>
      </c>
      <c r="J418" s="129" t="str">
        <f t="shared" si="31"/>
        <v>Satin Sable w/Inlay</v>
      </c>
      <c r="K418" s="129"/>
      <c r="L418" s="129"/>
      <c r="AO418" s="14" t="s">
        <v>562</v>
      </c>
      <c r="AP418" s="12" t="s">
        <v>88</v>
      </c>
      <c r="AQ418" s="14" t="s">
        <v>22</v>
      </c>
      <c r="AR418" s="12" t="s">
        <v>950</v>
      </c>
      <c r="AS418" s="129" t="s">
        <v>1341</v>
      </c>
      <c r="CC418" s="12" t="s">
        <v>55</v>
      </c>
      <c r="CD418" s="12" t="s">
        <v>95</v>
      </c>
      <c r="CE418" s="77" t="s">
        <v>1420</v>
      </c>
      <c r="CF418" s="244" t="s">
        <v>1768</v>
      </c>
      <c r="CG418" s="42" t="s">
        <v>1421</v>
      </c>
    </row>
    <row r="419" spans="7:85" x14ac:dyDescent="0.3">
      <c r="G419" s="12" t="s">
        <v>17</v>
      </c>
      <c r="H419" s="12" t="s">
        <v>346</v>
      </c>
      <c r="I419" s="12" t="s">
        <v>904</v>
      </c>
      <c r="J419" s="129" t="str">
        <f t="shared" si="31"/>
        <v>Satin Natural w/Inlay</v>
      </c>
      <c r="K419" s="129"/>
      <c r="L419" s="129"/>
      <c r="AO419" s="14" t="s">
        <v>562</v>
      </c>
      <c r="AP419" s="12" t="s">
        <v>88</v>
      </c>
      <c r="AQ419" s="14" t="s">
        <v>22</v>
      </c>
      <c r="AR419" s="12" t="s">
        <v>954</v>
      </c>
      <c r="AS419" s="129" t="s">
        <v>1343</v>
      </c>
      <c r="CC419" s="12" t="s">
        <v>55</v>
      </c>
      <c r="CD419" s="12" t="s">
        <v>100</v>
      </c>
      <c r="CE419" s="77" t="s">
        <v>1420</v>
      </c>
      <c r="CF419" s="244" t="s">
        <v>1769</v>
      </c>
      <c r="CG419" s="42" t="s">
        <v>1421</v>
      </c>
    </row>
    <row r="420" spans="7:85" x14ac:dyDescent="0.3">
      <c r="G420" s="12" t="s">
        <v>17</v>
      </c>
      <c r="H420" s="12" t="s">
        <v>346</v>
      </c>
      <c r="I420" s="12" t="s">
        <v>26</v>
      </c>
      <c r="J420" s="129" t="str">
        <f t="shared" si="31"/>
        <v>Satin Sable</v>
      </c>
      <c r="K420" s="129"/>
      <c r="L420" s="129"/>
      <c r="AO420" s="14" t="s">
        <v>562</v>
      </c>
      <c r="AP420" s="12" t="s">
        <v>104</v>
      </c>
      <c r="AQ420" s="14" t="s">
        <v>518</v>
      </c>
      <c r="AR420" s="12" t="s">
        <v>948</v>
      </c>
      <c r="AS420" s="129" t="s">
        <v>1340</v>
      </c>
      <c r="CC420" s="12" t="s">
        <v>55</v>
      </c>
      <c r="CD420" s="12" t="s">
        <v>104</v>
      </c>
      <c r="CE420" s="77" t="s">
        <v>1420</v>
      </c>
      <c r="CF420" s="244" t="s">
        <v>1770</v>
      </c>
      <c r="CG420" s="42" t="s">
        <v>1421</v>
      </c>
    </row>
    <row r="421" spans="7:85" x14ac:dyDescent="0.3">
      <c r="G421" s="12" t="s">
        <v>17</v>
      </c>
      <c r="H421" s="12" t="s">
        <v>346</v>
      </c>
      <c r="I421" s="12" t="s">
        <v>914</v>
      </c>
      <c r="J421" s="129" t="str">
        <f t="shared" si="31"/>
        <v>Satin Sable w/Accent</v>
      </c>
      <c r="K421" s="129"/>
      <c r="L421" s="129"/>
      <c r="AO421" s="14" t="s">
        <v>562</v>
      </c>
      <c r="AP421" s="12" t="s">
        <v>104</v>
      </c>
      <c r="AQ421" s="14" t="s">
        <v>518</v>
      </c>
      <c r="AR421" s="12" t="s">
        <v>946</v>
      </c>
      <c r="AS421" s="129" t="s">
        <v>1339</v>
      </c>
      <c r="CC421" s="12" t="s">
        <v>55</v>
      </c>
      <c r="CD421" s="12" t="s">
        <v>45</v>
      </c>
      <c r="CE421" s="77" t="s">
        <v>1422</v>
      </c>
      <c r="CF421" s="244" t="s">
        <v>1771</v>
      </c>
      <c r="CG421" s="42" t="s">
        <v>1423</v>
      </c>
    </row>
    <row r="422" spans="7:85" x14ac:dyDescent="0.3">
      <c r="G422" s="12" t="s">
        <v>17</v>
      </c>
      <c r="H422" s="12" t="s">
        <v>346</v>
      </c>
      <c r="I422" s="12" t="s">
        <v>321</v>
      </c>
      <c r="J422" s="129" t="str">
        <f t="shared" si="31"/>
        <v>Satin Natural</v>
      </c>
      <c r="K422" s="129"/>
      <c r="L422" s="129"/>
      <c r="AO422" s="14" t="s">
        <v>562</v>
      </c>
      <c r="AP422" s="12" t="s">
        <v>104</v>
      </c>
      <c r="AQ422" s="14" t="s">
        <v>518</v>
      </c>
      <c r="AR422" s="12" t="s">
        <v>950</v>
      </c>
      <c r="AS422" s="129" t="s">
        <v>1341</v>
      </c>
      <c r="CC422" s="12" t="s">
        <v>55</v>
      </c>
      <c r="CD422" s="12" t="s">
        <v>49</v>
      </c>
      <c r="CE422" s="77" t="s">
        <v>1422</v>
      </c>
      <c r="CF422" s="244" t="s">
        <v>1772</v>
      </c>
      <c r="CG422" s="42" t="s">
        <v>1423</v>
      </c>
    </row>
    <row r="423" spans="7:85" x14ac:dyDescent="0.3">
      <c r="G423" s="12" t="s">
        <v>17</v>
      </c>
      <c r="H423" s="12" t="s">
        <v>346</v>
      </c>
      <c r="I423" s="12" t="s">
        <v>912</v>
      </c>
      <c r="J423" s="129" t="str">
        <f t="shared" si="31"/>
        <v>Satin Natural w/Accent</v>
      </c>
      <c r="K423" s="129"/>
      <c r="L423" s="129"/>
      <c r="AO423" s="14" t="s">
        <v>562</v>
      </c>
      <c r="AP423" s="12" t="s">
        <v>104</v>
      </c>
      <c r="AQ423" s="14" t="s">
        <v>518</v>
      </c>
      <c r="AR423" s="12" t="s">
        <v>954</v>
      </c>
      <c r="AS423" s="129" t="s">
        <v>1343</v>
      </c>
      <c r="CC423" s="12" t="s">
        <v>55</v>
      </c>
      <c r="CD423" s="12" t="s">
        <v>51</v>
      </c>
      <c r="CE423" s="77" t="s">
        <v>1422</v>
      </c>
      <c r="CF423" s="244" t="s">
        <v>1773</v>
      </c>
      <c r="CG423" s="42" t="s">
        <v>1423</v>
      </c>
    </row>
    <row r="424" spans="7:85" x14ac:dyDescent="0.3">
      <c r="G424" s="12" t="s">
        <v>17</v>
      </c>
      <c r="H424" s="12" t="s">
        <v>346</v>
      </c>
      <c r="I424" s="12" t="s">
        <v>309</v>
      </c>
      <c r="J424" s="129" t="str">
        <f t="shared" si="31"/>
        <v>Natural Hoop</v>
      </c>
      <c r="K424" s="129"/>
      <c r="L424" s="129"/>
      <c r="AO424" s="14" t="s">
        <v>562</v>
      </c>
      <c r="AP424" s="12" t="s">
        <v>104</v>
      </c>
      <c r="AQ424" s="14" t="s">
        <v>22</v>
      </c>
      <c r="AR424" s="12" t="s">
        <v>948</v>
      </c>
      <c r="AS424" s="129" t="s">
        <v>1340</v>
      </c>
      <c r="CC424" s="12" t="s">
        <v>55</v>
      </c>
      <c r="CD424" s="12" t="s">
        <v>54</v>
      </c>
      <c r="CE424" s="77" t="s">
        <v>1422</v>
      </c>
      <c r="CF424" s="244" t="s">
        <v>1774</v>
      </c>
      <c r="CG424" s="42" t="s">
        <v>1423</v>
      </c>
    </row>
    <row r="425" spans="7:85" x14ac:dyDescent="0.3">
      <c r="G425" s="12" t="s">
        <v>17</v>
      </c>
      <c r="H425" s="12" t="s">
        <v>346</v>
      </c>
      <c r="I425" s="12" t="s">
        <v>907</v>
      </c>
      <c r="J425" s="129" t="str">
        <f t="shared" si="31"/>
        <v>Natural w/Inlay</v>
      </c>
      <c r="K425" s="129"/>
      <c r="L425" s="129"/>
      <c r="AO425" s="14" t="s">
        <v>562</v>
      </c>
      <c r="AP425" s="12" t="s">
        <v>104</v>
      </c>
      <c r="AQ425" s="14" t="s">
        <v>22</v>
      </c>
      <c r="AR425" s="12" t="s">
        <v>946</v>
      </c>
      <c r="AS425" s="129" t="s">
        <v>1339</v>
      </c>
      <c r="CC425" s="12" t="s">
        <v>55</v>
      </c>
      <c r="CD425" s="12" t="s">
        <v>58</v>
      </c>
      <c r="CE425" s="77" t="s">
        <v>1422</v>
      </c>
      <c r="CF425" s="244" t="s">
        <v>1775</v>
      </c>
      <c r="CG425" s="42" t="s">
        <v>1423</v>
      </c>
    </row>
    <row r="426" spans="7:85" x14ac:dyDescent="0.3">
      <c r="G426" s="12" t="s">
        <v>17</v>
      </c>
      <c r="H426" s="12" t="s">
        <v>346</v>
      </c>
      <c r="I426" s="12" t="s">
        <v>909</v>
      </c>
      <c r="J426" s="129" t="str">
        <f t="shared" si="31"/>
        <v>Natural w/Accent</v>
      </c>
      <c r="K426" s="129"/>
      <c r="L426" s="129"/>
      <c r="AO426" s="14" t="s">
        <v>562</v>
      </c>
      <c r="AP426" s="12" t="s">
        <v>104</v>
      </c>
      <c r="AQ426" s="14" t="s">
        <v>22</v>
      </c>
      <c r="AR426" s="12" t="s">
        <v>950</v>
      </c>
      <c r="AS426" s="129" t="s">
        <v>1341</v>
      </c>
      <c r="CC426" s="12" t="s">
        <v>55</v>
      </c>
      <c r="CD426" s="12" t="s">
        <v>62</v>
      </c>
      <c r="CE426" s="77" t="s">
        <v>1422</v>
      </c>
      <c r="CF426" s="244" t="s">
        <v>1776</v>
      </c>
      <c r="CG426" s="42" t="s">
        <v>1423</v>
      </c>
    </row>
    <row r="427" spans="7:85" x14ac:dyDescent="0.3">
      <c r="G427" s="12" t="s">
        <v>17</v>
      </c>
      <c r="H427" s="12" t="s">
        <v>346</v>
      </c>
      <c r="I427" s="12" t="s">
        <v>313</v>
      </c>
      <c r="J427" s="129" t="str">
        <f t="shared" si="31"/>
        <v>Sable Black</v>
      </c>
      <c r="K427" s="129"/>
      <c r="L427" s="129"/>
      <c r="AO427" s="14" t="s">
        <v>562</v>
      </c>
      <c r="AP427" s="12" t="s">
        <v>104</v>
      </c>
      <c r="AQ427" s="14" t="s">
        <v>22</v>
      </c>
      <c r="AR427" s="12" t="s">
        <v>954</v>
      </c>
      <c r="AS427" s="129" t="s">
        <v>1343</v>
      </c>
      <c r="CC427" s="12" t="s">
        <v>55</v>
      </c>
      <c r="CD427" s="12" t="s">
        <v>64</v>
      </c>
      <c r="CE427" s="77" t="s">
        <v>1422</v>
      </c>
      <c r="CF427" s="244" t="s">
        <v>1777</v>
      </c>
      <c r="CG427" s="42" t="s">
        <v>1423</v>
      </c>
    </row>
    <row r="428" spans="7:85" x14ac:dyDescent="0.3">
      <c r="G428" s="12" t="s">
        <v>19</v>
      </c>
      <c r="H428" s="12" t="s">
        <v>346</v>
      </c>
      <c r="I428" s="12" t="s">
        <v>902</v>
      </c>
      <c r="J428" s="129" t="str">
        <f t="shared" si="31"/>
        <v>Satin Sable w/Inlay</v>
      </c>
      <c r="K428" s="129"/>
      <c r="L428" s="129"/>
      <c r="AO428" s="14" t="s">
        <v>562</v>
      </c>
      <c r="AP428" s="12" t="s">
        <v>440</v>
      </c>
      <c r="AQ428" s="14" t="s">
        <v>518</v>
      </c>
      <c r="AR428" s="12" t="s">
        <v>948</v>
      </c>
      <c r="AS428" s="129" t="s">
        <v>1340</v>
      </c>
      <c r="CC428" s="12" t="s">
        <v>55</v>
      </c>
      <c r="CD428" s="12" t="s">
        <v>68</v>
      </c>
      <c r="CE428" s="77" t="s">
        <v>1422</v>
      </c>
      <c r="CF428" s="244" t="s">
        <v>1778</v>
      </c>
      <c r="CG428" s="42" t="s">
        <v>1423</v>
      </c>
    </row>
    <row r="429" spans="7:85" x14ac:dyDescent="0.3">
      <c r="G429" s="12" t="s">
        <v>19</v>
      </c>
      <c r="H429" s="12" t="s">
        <v>346</v>
      </c>
      <c r="I429" s="12" t="s">
        <v>904</v>
      </c>
      <c r="J429" s="129" t="str">
        <f t="shared" si="31"/>
        <v>Satin Natural w/Inlay</v>
      </c>
      <c r="K429" s="129"/>
      <c r="L429" s="129"/>
      <c r="AO429" s="14" t="s">
        <v>562</v>
      </c>
      <c r="AP429" s="12" t="s">
        <v>440</v>
      </c>
      <c r="AQ429" s="14" t="s">
        <v>518</v>
      </c>
      <c r="AR429" s="12" t="s">
        <v>950</v>
      </c>
      <c r="AS429" s="129" t="s">
        <v>1341</v>
      </c>
      <c r="CC429" s="12" t="s">
        <v>55</v>
      </c>
      <c r="CD429" s="12" t="s">
        <v>67</v>
      </c>
      <c r="CE429" s="77" t="s">
        <v>1422</v>
      </c>
      <c r="CF429" s="244" t="s">
        <v>1779</v>
      </c>
      <c r="CG429" s="42" t="s">
        <v>1423</v>
      </c>
    </row>
    <row r="430" spans="7:85" x14ac:dyDescent="0.3">
      <c r="G430" s="12" t="s">
        <v>19</v>
      </c>
      <c r="H430" s="12" t="s">
        <v>346</v>
      </c>
      <c r="I430" s="12" t="s">
        <v>26</v>
      </c>
      <c r="J430" s="129" t="str">
        <f t="shared" si="31"/>
        <v>Satin Sable</v>
      </c>
      <c r="K430" s="129"/>
      <c r="L430" s="129"/>
      <c r="AO430" s="14" t="s">
        <v>562</v>
      </c>
      <c r="AP430" s="12" t="s">
        <v>440</v>
      </c>
      <c r="AQ430" s="14" t="s">
        <v>518</v>
      </c>
      <c r="AR430" s="12" t="s">
        <v>954</v>
      </c>
      <c r="AS430" s="129" t="s">
        <v>1343</v>
      </c>
      <c r="CC430" s="12" t="s">
        <v>55</v>
      </c>
      <c r="CD430" s="12" t="s">
        <v>71</v>
      </c>
      <c r="CE430" s="77" t="s">
        <v>1422</v>
      </c>
      <c r="CF430" s="244" t="s">
        <v>1780</v>
      </c>
      <c r="CG430" s="42" t="s">
        <v>1423</v>
      </c>
    </row>
    <row r="431" spans="7:85" x14ac:dyDescent="0.3">
      <c r="G431" s="12" t="s">
        <v>19</v>
      </c>
      <c r="H431" s="12" t="s">
        <v>346</v>
      </c>
      <c r="I431" s="12" t="s">
        <v>914</v>
      </c>
      <c r="J431" s="129" t="str">
        <f t="shared" si="31"/>
        <v>Satin Sable w/Accent</v>
      </c>
      <c r="K431" s="129"/>
      <c r="L431" s="129"/>
      <c r="AO431" s="14" t="s">
        <v>562</v>
      </c>
      <c r="AP431" s="12" t="s">
        <v>440</v>
      </c>
      <c r="AQ431" s="14" t="s">
        <v>22</v>
      </c>
      <c r="AR431" s="12" t="s">
        <v>948</v>
      </c>
      <c r="AS431" s="129" t="s">
        <v>1340</v>
      </c>
      <c r="CC431" s="12" t="s">
        <v>55</v>
      </c>
      <c r="CD431" s="12" t="s">
        <v>74</v>
      </c>
      <c r="CE431" s="77" t="s">
        <v>1422</v>
      </c>
      <c r="CF431" s="244" t="s">
        <v>1781</v>
      </c>
      <c r="CG431" s="42" t="s">
        <v>1423</v>
      </c>
    </row>
    <row r="432" spans="7:85" x14ac:dyDescent="0.3">
      <c r="G432" s="12" t="s">
        <v>19</v>
      </c>
      <c r="H432" s="12" t="s">
        <v>346</v>
      </c>
      <c r="I432" s="12" t="s">
        <v>321</v>
      </c>
      <c r="J432" s="129" t="str">
        <f t="shared" si="31"/>
        <v>Satin Natural</v>
      </c>
      <c r="K432" s="129"/>
      <c r="L432" s="129"/>
      <c r="AO432" s="14" t="s">
        <v>562</v>
      </c>
      <c r="AP432" s="12" t="s">
        <v>440</v>
      </c>
      <c r="AQ432" s="14" t="s">
        <v>22</v>
      </c>
      <c r="AR432" s="12" t="s">
        <v>950</v>
      </c>
      <c r="AS432" s="129" t="s">
        <v>1341</v>
      </c>
      <c r="CC432" s="12" t="s">
        <v>55</v>
      </c>
      <c r="CD432" s="12" t="s">
        <v>77</v>
      </c>
      <c r="CE432" s="77" t="s">
        <v>1422</v>
      </c>
      <c r="CF432" s="244" t="s">
        <v>1782</v>
      </c>
      <c r="CG432" s="42" t="s">
        <v>1423</v>
      </c>
    </row>
    <row r="433" spans="7:85" x14ac:dyDescent="0.3">
      <c r="G433" s="12" t="s">
        <v>19</v>
      </c>
      <c r="H433" s="12" t="s">
        <v>346</v>
      </c>
      <c r="I433" s="12" t="s">
        <v>912</v>
      </c>
      <c r="J433" s="129" t="str">
        <f t="shared" si="31"/>
        <v>Satin Natural w/Accent</v>
      </c>
      <c r="K433" s="129"/>
      <c r="L433" s="129"/>
      <c r="AO433" s="14" t="s">
        <v>562</v>
      </c>
      <c r="AP433" s="12" t="s">
        <v>440</v>
      </c>
      <c r="AQ433" s="14" t="s">
        <v>22</v>
      </c>
      <c r="AR433" s="12" t="s">
        <v>954</v>
      </c>
      <c r="AS433" s="129" t="s">
        <v>1343</v>
      </c>
      <c r="CC433" s="12" t="s">
        <v>55</v>
      </c>
      <c r="CD433" s="12" t="s">
        <v>81</v>
      </c>
      <c r="CE433" s="77" t="s">
        <v>1422</v>
      </c>
      <c r="CF433" s="244" t="s">
        <v>1783</v>
      </c>
      <c r="CG433" s="42" t="s">
        <v>1423</v>
      </c>
    </row>
    <row r="434" spans="7:85" x14ac:dyDescent="0.3">
      <c r="G434" s="12" t="s">
        <v>19</v>
      </c>
      <c r="H434" s="12" t="s">
        <v>346</v>
      </c>
      <c r="I434" s="12" t="s">
        <v>309</v>
      </c>
      <c r="J434" s="129" t="str">
        <f t="shared" si="31"/>
        <v>Natural Hoop</v>
      </c>
      <c r="K434" s="129"/>
      <c r="L434" s="129"/>
      <c r="AO434" s="14" t="s">
        <v>562</v>
      </c>
      <c r="AP434" s="12" t="s">
        <v>64</v>
      </c>
      <c r="AQ434" s="14" t="s">
        <v>518</v>
      </c>
      <c r="AR434" s="12" t="s">
        <v>946</v>
      </c>
      <c r="AS434" s="129" t="s">
        <v>1339</v>
      </c>
      <c r="CC434" s="12" t="s">
        <v>55</v>
      </c>
      <c r="CD434" s="12" t="s">
        <v>83</v>
      </c>
      <c r="CE434" s="77" t="s">
        <v>1422</v>
      </c>
      <c r="CF434" s="244" t="s">
        <v>1784</v>
      </c>
      <c r="CG434" s="42" t="s">
        <v>1423</v>
      </c>
    </row>
    <row r="435" spans="7:85" x14ac:dyDescent="0.3">
      <c r="G435" s="12" t="s">
        <v>19</v>
      </c>
      <c r="H435" s="12" t="s">
        <v>346</v>
      </c>
      <c r="I435" s="12" t="s">
        <v>313</v>
      </c>
      <c r="J435" s="129" t="str">
        <f t="shared" si="31"/>
        <v>Sable Black</v>
      </c>
      <c r="K435" s="129"/>
      <c r="L435" s="129"/>
      <c r="AO435" s="14" t="s">
        <v>562</v>
      </c>
      <c r="AP435" s="12" t="s">
        <v>64</v>
      </c>
      <c r="AQ435" s="14" t="s">
        <v>518</v>
      </c>
      <c r="AR435" s="12" t="s">
        <v>950</v>
      </c>
      <c r="AS435" s="129" t="s">
        <v>1341</v>
      </c>
      <c r="CC435" s="12" t="s">
        <v>55</v>
      </c>
      <c r="CD435" s="12" t="s">
        <v>85</v>
      </c>
      <c r="CE435" s="77" t="s">
        <v>1422</v>
      </c>
      <c r="CF435" s="244" t="s">
        <v>1785</v>
      </c>
      <c r="CG435" s="42" t="s">
        <v>1423</v>
      </c>
    </row>
    <row r="436" spans="7:85" x14ac:dyDescent="0.3">
      <c r="G436" s="12" t="s">
        <v>15</v>
      </c>
      <c r="H436" s="16" t="s">
        <v>348</v>
      </c>
      <c r="I436" s="12" t="s">
        <v>902</v>
      </c>
      <c r="J436" s="129" t="str">
        <f t="shared" si="31"/>
        <v>Satin Sable w/Inlay</v>
      </c>
      <c r="K436" s="129"/>
      <c r="L436" s="129"/>
      <c r="AO436" s="14" t="s">
        <v>562</v>
      </c>
      <c r="AP436" s="12" t="s">
        <v>64</v>
      </c>
      <c r="AQ436" s="14" t="s">
        <v>518</v>
      </c>
      <c r="AR436" s="12" t="s">
        <v>954</v>
      </c>
      <c r="AS436" s="129" t="s">
        <v>1343</v>
      </c>
      <c r="CC436" s="12" t="s">
        <v>55</v>
      </c>
      <c r="CD436" s="12" t="s">
        <v>88</v>
      </c>
      <c r="CE436" s="77" t="s">
        <v>1422</v>
      </c>
      <c r="CF436" s="244" t="s">
        <v>1786</v>
      </c>
      <c r="CG436" s="42" t="s">
        <v>1423</v>
      </c>
    </row>
    <row r="437" spans="7:85" x14ac:dyDescent="0.3">
      <c r="G437" s="12" t="s">
        <v>15</v>
      </c>
      <c r="H437" s="16" t="s">
        <v>348</v>
      </c>
      <c r="I437" s="12" t="s">
        <v>904</v>
      </c>
      <c r="J437" s="129" t="str">
        <f t="shared" si="31"/>
        <v>Satin Natural w/Inlay</v>
      </c>
      <c r="K437" s="129"/>
      <c r="L437" s="129"/>
      <c r="AO437" s="14" t="s">
        <v>562</v>
      </c>
      <c r="AP437" s="12" t="s">
        <v>64</v>
      </c>
      <c r="AQ437" s="14" t="s">
        <v>22</v>
      </c>
      <c r="AR437" s="12" t="s">
        <v>946</v>
      </c>
      <c r="AS437" s="129" t="s">
        <v>1339</v>
      </c>
      <c r="CC437" s="12" t="s">
        <v>55</v>
      </c>
      <c r="CD437" s="12" t="s">
        <v>90</v>
      </c>
      <c r="CE437" s="77" t="s">
        <v>1422</v>
      </c>
      <c r="CF437" s="244" t="s">
        <v>1787</v>
      </c>
      <c r="CG437" s="42" t="s">
        <v>1423</v>
      </c>
    </row>
    <row r="438" spans="7:85" x14ac:dyDescent="0.3">
      <c r="G438" s="12" t="s">
        <v>15</v>
      </c>
      <c r="H438" s="16" t="s">
        <v>348</v>
      </c>
      <c r="I438" s="12" t="s">
        <v>26</v>
      </c>
      <c r="J438" s="129" t="str">
        <f t="shared" si="31"/>
        <v>Satin Sable</v>
      </c>
      <c r="K438" s="129"/>
      <c r="L438" s="129"/>
      <c r="AO438" s="14" t="s">
        <v>562</v>
      </c>
      <c r="AP438" s="12" t="s">
        <v>64</v>
      </c>
      <c r="AQ438" s="14" t="s">
        <v>22</v>
      </c>
      <c r="AR438" s="12" t="s">
        <v>950</v>
      </c>
      <c r="AS438" s="129" t="s">
        <v>1341</v>
      </c>
      <c r="CC438" s="12" t="s">
        <v>55</v>
      </c>
      <c r="CD438" s="12" t="s">
        <v>93</v>
      </c>
      <c r="CE438" s="77" t="s">
        <v>1422</v>
      </c>
      <c r="CF438" s="244" t="s">
        <v>1788</v>
      </c>
      <c r="CG438" s="42" t="s">
        <v>1423</v>
      </c>
    </row>
    <row r="439" spans="7:85" x14ac:dyDescent="0.3">
      <c r="G439" s="12" t="s">
        <v>15</v>
      </c>
      <c r="H439" s="16" t="s">
        <v>348</v>
      </c>
      <c r="I439" s="12" t="s">
        <v>914</v>
      </c>
      <c r="J439" s="129" t="str">
        <f t="shared" si="31"/>
        <v>Satin Sable w/Accent</v>
      </c>
      <c r="K439" s="129"/>
      <c r="L439" s="129"/>
      <c r="AO439" s="14" t="s">
        <v>562</v>
      </c>
      <c r="AP439" s="12" t="s">
        <v>64</v>
      </c>
      <c r="AQ439" s="14" t="s">
        <v>22</v>
      </c>
      <c r="AR439" s="12" t="s">
        <v>954</v>
      </c>
      <c r="AS439" s="129" t="s">
        <v>1343</v>
      </c>
      <c r="CC439" s="12" t="s">
        <v>55</v>
      </c>
      <c r="CD439" s="12" t="s">
        <v>95</v>
      </c>
      <c r="CE439" s="77" t="s">
        <v>1422</v>
      </c>
      <c r="CF439" s="244" t="s">
        <v>1789</v>
      </c>
      <c r="CG439" s="42" t="s">
        <v>1423</v>
      </c>
    </row>
    <row r="440" spans="7:85" x14ac:dyDescent="0.3">
      <c r="G440" s="12" t="s">
        <v>15</v>
      </c>
      <c r="H440" s="16" t="s">
        <v>348</v>
      </c>
      <c r="I440" s="12" t="s">
        <v>321</v>
      </c>
      <c r="J440" s="129" t="str">
        <f t="shared" si="31"/>
        <v>Satin Natural</v>
      </c>
      <c r="K440" s="129"/>
      <c r="L440" s="129"/>
      <c r="AO440" s="14" t="s">
        <v>562</v>
      </c>
      <c r="AP440" s="12" t="s">
        <v>77</v>
      </c>
      <c r="AQ440" s="14" t="s">
        <v>518</v>
      </c>
      <c r="AR440" s="12" t="s">
        <v>948</v>
      </c>
      <c r="AS440" s="129" t="s">
        <v>1340</v>
      </c>
      <c r="CC440" s="12" t="s">
        <v>55</v>
      </c>
      <c r="CD440" s="12" t="s">
        <v>100</v>
      </c>
      <c r="CE440" s="77" t="s">
        <v>1422</v>
      </c>
      <c r="CF440" s="244" t="s">
        <v>1790</v>
      </c>
      <c r="CG440" s="42" t="s">
        <v>1423</v>
      </c>
    </row>
    <row r="441" spans="7:85" x14ac:dyDescent="0.3">
      <c r="G441" s="12" t="s">
        <v>15</v>
      </c>
      <c r="H441" s="16" t="s">
        <v>348</v>
      </c>
      <c r="I441" s="12" t="s">
        <v>912</v>
      </c>
      <c r="J441" s="129" t="str">
        <f t="shared" si="31"/>
        <v>Satin Natural w/Accent</v>
      </c>
      <c r="K441" s="129"/>
      <c r="L441" s="129"/>
      <c r="AO441" s="14" t="s">
        <v>562</v>
      </c>
      <c r="AP441" s="12" t="s">
        <v>77</v>
      </c>
      <c r="AQ441" s="14" t="s">
        <v>518</v>
      </c>
      <c r="AR441" s="12" t="s">
        <v>946</v>
      </c>
      <c r="AS441" s="129" t="s">
        <v>1339</v>
      </c>
      <c r="CC441" s="12" t="s">
        <v>55</v>
      </c>
      <c r="CD441" s="12" t="s">
        <v>104</v>
      </c>
      <c r="CE441" s="77" t="s">
        <v>1422</v>
      </c>
      <c r="CF441" s="244" t="s">
        <v>1791</v>
      </c>
      <c r="CG441" s="42" t="s">
        <v>1423</v>
      </c>
    </row>
    <row r="442" spans="7:85" x14ac:dyDescent="0.3">
      <c r="G442" s="12" t="s">
        <v>15</v>
      </c>
      <c r="H442" s="16" t="s">
        <v>348</v>
      </c>
      <c r="I442" s="12" t="s">
        <v>309</v>
      </c>
      <c r="J442" s="129" t="str">
        <f t="shared" si="31"/>
        <v>Natural Hoop</v>
      </c>
      <c r="K442" s="129"/>
      <c r="L442" s="129"/>
      <c r="AO442" s="14" t="s">
        <v>562</v>
      </c>
      <c r="AP442" s="12" t="s">
        <v>77</v>
      </c>
      <c r="AQ442" s="14" t="s">
        <v>518</v>
      </c>
      <c r="AR442" s="12" t="s">
        <v>950</v>
      </c>
      <c r="AS442" s="129" t="s">
        <v>1341</v>
      </c>
      <c r="CC442" s="12" t="s">
        <v>55</v>
      </c>
      <c r="CD442" s="12" t="s">
        <v>45</v>
      </c>
      <c r="CE442" s="77" t="s">
        <v>1424</v>
      </c>
      <c r="CF442" s="244" t="s">
        <v>1792</v>
      </c>
      <c r="CG442" s="42" t="s">
        <v>1425</v>
      </c>
    </row>
    <row r="443" spans="7:85" x14ac:dyDescent="0.3">
      <c r="G443" s="12" t="s">
        <v>15</v>
      </c>
      <c r="H443" s="16" t="s">
        <v>348</v>
      </c>
      <c r="I443" s="12" t="s">
        <v>907</v>
      </c>
      <c r="J443" s="129" t="str">
        <f t="shared" si="31"/>
        <v>Natural w/Inlay</v>
      </c>
      <c r="K443" s="129"/>
      <c r="L443" s="129"/>
      <c r="AO443" s="14" t="s">
        <v>562</v>
      </c>
      <c r="AP443" s="12" t="s">
        <v>77</v>
      </c>
      <c r="AQ443" s="14" t="s">
        <v>518</v>
      </c>
      <c r="AR443" s="12" t="s">
        <v>954</v>
      </c>
      <c r="AS443" s="129" t="s">
        <v>1343</v>
      </c>
      <c r="CC443" s="12" t="s">
        <v>55</v>
      </c>
      <c r="CD443" s="12" t="s">
        <v>49</v>
      </c>
      <c r="CE443" s="77" t="s">
        <v>1424</v>
      </c>
      <c r="CF443" s="244" t="s">
        <v>1793</v>
      </c>
      <c r="CG443" s="42" t="s">
        <v>1425</v>
      </c>
    </row>
    <row r="444" spans="7:85" x14ac:dyDescent="0.3">
      <c r="G444" s="12" t="s">
        <v>15</v>
      </c>
      <c r="H444" s="16" t="s">
        <v>348</v>
      </c>
      <c r="I444" s="12" t="s">
        <v>909</v>
      </c>
      <c r="J444" s="129" t="str">
        <f t="shared" si="31"/>
        <v>Natural w/Accent</v>
      </c>
      <c r="K444" s="129"/>
      <c r="L444" s="129"/>
      <c r="AO444" s="14" t="s">
        <v>562</v>
      </c>
      <c r="AP444" s="12" t="s">
        <v>77</v>
      </c>
      <c r="AQ444" s="14" t="s">
        <v>22</v>
      </c>
      <c r="AR444" s="12" t="s">
        <v>948</v>
      </c>
      <c r="AS444" s="129" t="s">
        <v>1340</v>
      </c>
      <c r="CC444" s="12" t="s">
        <v>55</v>
      </c>
      <c r="CD444" s="12" t="s">
        <v>51</v>
      </c>
      <c r="CE444" s="77" t="s">
        <v>1424</v>
      </c>
      <c r="CF444" s="244" t="s">
        <v>1794</v>
      </c>
      <c r="CG444" s="42" t="s">
        <v>1425</v>
      </c>
    </row>
    <row r="445" spans="7:85" x14ac:dyDescent="0.3">
      <c r="G445" s="12" t="s">
        <v>15</v>
      </c>
      <c r="H445" s="16" t="s">
        <v>348</v>
      </c>
      <c r="I445" s="12" t="s">
        <v>313</v>
      </c>
      <c r="J445" s="129" t="str">
        <f t="shared" si="31"/>
        <v>Sable Black</v>
      </c>
      <c r="K445" s="129"/>
      <c r="L445" s="129"/>
      <c r="AO445" s="14" t="s">
        <v>562</v>
      </c>
      <c r="AP445" s="12" t="s">
        <v>77</v>
      </c>
      <c r="AQ445" s="14" t="s">
        <v>22</v>
      </c>
      <c r="AR445" s="12" t="s">
        <v>946</v>
      </c>
      <c r="AS445" s="129" t="s">
        <v>1339</v>
      </c>
      <c r="CC445" s="12" t="s">
        <v>55</v>
      </c>
      <c r="CD445" s="12" t="s">
        <v>54</v>
      </c>
      <c r="CE445" s="77" t="s">
        <v>1424</v>
      </c>
      <c r="CF445" s="244" t="s">
        <v>1795</v>
      </c>
      <c r="CG445" s="42" t="s">
        <v>1425</v>
      </c>
    </row>
    <row r="446" spans="7:85" x14ac:dyDescent="0.3">
      <c r="G446" s="12" t="s">
        <v>16</v>
      </c>
      <c r="H446" s="16" t="s">
        <v>348</v>
      </c>
      <c r="I446" s="12" t="s">
        <v>902</v>
      </c>
      <c r="J446" s="129" t="str">
        <f t="shared" si="31"/>
        <v>Satin Sable w/Inlay</v>
      </c>
      <c r="K446" s="129"/>
      <c r="L446" s="129"/>
      <c r="AO446" s="14" t="s">
        <v>562</v>
      </c>
      <c r="AP446" s="12" t="s">
        <v>77</v>
      </c>
      <c r="AQ446" s="14" t="s">
        <v>22</v>
      </c>
      <c r="AR446" s="12" t="s">
        <v>950</v>
      </c>
      <c r="AS446" s="129" t="s">
        <v>1341</v>
      </c>
      <c r="CC446" s="12" t="s">
        <v>55</v>
      </c>
      <c r="CD446" s="12" t="s">
        <v>58</v>
      </c>
      <c r="CE446" s="77" t="s">
        <v>1424</v>
      </c>
      <c r="CF446" s="244" t="s">
        <v>1796</v>
      </c>
      <c r="CG446" s="42" t="s">
        <v>1425</v>
      </c>
    </row>
    <row r="447" spans="7:85" x14ac:dyDescent="0.3">
      <c r="G447" s="12" t="s">
        <v>16</v>
      </c>
      <c r="H447" s="16" t="s">
        <v>348</v>
      </c>
      <c r="I447" s="12" t="s">
        <v>904</v>
      </c>
      <c r="J447" s="129" t="str">
        <f t="shared" si="31"/>
        <v>Satin Natural w/Inlay</v>
      </c>
      <c r="K447" s="129"/>
      <c r="L447" s="129"/>
      <c r="AO447" s="14" t="s">
        <v>562</v>
      </c>
      <c r="AP447" s="12" t="s">
        <v>77</v>
      </c>
      <c r="AQ447" s="14" t="s">
        <v>22</v>
      </c>
      <c r="AR447" s="12" t="s">
        <v>954</v>
      </c>
      <c r="AS447" s="129" t="s">
        <v>1343</v>
      </c>
      <c r="CC447" s="12" t="s">
        <v>55</v>
      </c>
      <c r="CD447" s="12" t="s">
        <v>62</v>
      </c>
      <c r="CE447" s="77" t="s">
        <v>1424</v>
      </c>
      <c r="CF447" s="244" t="s">
        <v>1797</v>
      </c>
      <c r="CG447" s="42" t="s">
        <v>1425</v>
      </c>
    </row>
    <row r="448" spans="7:85" x14ac:dyDescent="0.3">
      <c r="G448" s="12" t="s">
        <v>16</v>
      </c>
      <c r="H448" s="16" t="s">
        <v>348</v>
      </c>
      <c r="I448" s="12" t="s">
        <v>26</v>
      </c>
      <c r="J448" s="129" t="str">
        <f t="shared" si="31"/>
        <v>Satin Sable</v>
      </c>
      <c r="K448" s="129"/>
      <c r="L448" s="129"/>
      <c r="AO448" s="14" t="s">
        <v>562</v>
      </c>
      <c r="AP448" s="12" t="s">
        <v>90</v>
      </c>
      <c r="AQ448" s="14" t="s">
        <v>518</v>
      </c>
      <c r="AR448" s="12" t="s">
        <v>948</v>
      </c>
      <c r="AS448" s="129" t="s">
        <v>1340</v>
      </c>
      <c r="CC448" s="12" t="s">
        <v>55</v>
      </c>
      <c r="CD448" s="12" t="s">
        <v>64</v>
      </c>
      <c r="CE448" s="77" t="s">
        <v>1424</v>
      </c>
      <c r="CF448" s="244" t="s">
        <v>1798</v>
      </c>
      <c r="CG448" s="42" t="s">
        <v>1425</v>
      </c>
    </row>
    <row r="449" spans="7:85" x14ac:dyDescent="0.3">
      <c r="G449" s="12" t="s">
        <v>16</v>
      </c>
      <c r="H449" s="16" t="s">
        <v>348</v>
      </c>
      <c r="I449" s="12" t="s">
        <v>914</v>
      </c>
      <c r="J449" s="129" t="str">
        <f t="shared" si="31"/>
        <v>Satin Sable w/Accent</v>
      </c>
      <c r="K449" s="129"/>
      <c r="L449" s="129"/>
      <c r="AO449" s="14" t="s">
        <v>562</v>
      </c>
      <c r="AP449" s="12" t="s">
        <v>90</v>
      </c>
      <c r="AQ449" s="14" t="s">
        <v>518</v>
      </c>
      <c r="AR449" s="12" t="s">
        <v>946</v>
      </c>
      <c r="AS449" s="129" t="s">
        <v>1339</v>
      </c>
      <c r="CC449" s="12" t="s">
        <v>55</v>
      </c>
      <c r="CD449" s="12" t="s">
        <v>68</v>
      </c>
      <c r="CE449" s="77" t="s">
        <v>1424</v>
      </c>
      <c r="CF449" s="244" t="s">
        <v>1799</v>
      </c>
      <c r="CG449" s="42" t="s">
        <v>1425</v>
      </c>
    </row>
    <row r="450" spans="7:85" x14ac:dyDescent="0.3">
      <c r="G450" s="12" t="s">
        <v>16</v>
      </c>
      <c r="H450" s="16" t="s">
        <v>348</v>
      </c>
      <c r="I450" s="12" t="s">
        <v>321</v>
      </c>
      <c r="J450" s="129" t="str">
        <f t="shared" si="31"/>
        <v>Satin Natural</v>
      </c>
      <c r="K450" s="129"/>
      <c r="L450" s="129"/>
      <c r="AO450" s="14" t="s">
        <v>562</v>
      </c>
      <c r="AP450" s="12" t="s">
        <v>90</v>
      </c>
      <c r="AQ450" s="14" t="s">
        <v>518</v>
      </c>
      <c r="AR450" s="12" t="s">
        <v>950</v>
      </c>
      <c r="AS450" s="129" t="s">
        <v>1341</v>
      </c>
      <c r="CC450" s="12" t="s">
        <v>55</v>
      </c>
      <c r="CD450" s="12" t="s">
        <v>67</v>
      </c>
      <c r="CE450" s="77" t="s">
        <v>1424</v>
      </c>
      <c r="CF450" s="244" t="s">
        <v>1800</v>
      </c>
      <c r="CG450" s="42" t="s">
        <v>1425</v>
      </c>
    </row>
    <row r="451" spans="7:85" x14ac:dyDescent="0.3">
      <c r="G451" s="12" t="s">
        <v>16</v>
      </c>
      <c r="H451" s="16" t="s">
        <v>348</v>
      </c>
      <c r="I451" s="12" t="s">
        <v>912</v>
      </c>
      <c r="J451" s="129" t="str">
        <f t="shared" si="31"/>
        <v>Satin Natural w/Accent</v>
      </c>
      <c r="K451" s="129"/>
      <c r="L451" s="129"/>
      <c r="AO451" s="14" t="s">
        <v>562</v>
      </c>
      <c r="AP451" s="12" t="s">
        <v>90</v>
      </c>
      <c r="AQ451" s="14" t="s">
        <v>518</v>
      </c>
      <c r="AR451" s="12" t="s">
        <v>954</v>
      </c>
      <c r="AS451" s="129" t="s">
        <v>1343</v>
      </c>
      <c r="CC451" s="12" t="s">
        <v>55</v>
      </c>
      <c r="CD451" s="12" t="s">
        <v>71</v>
      </c>
      <c r="CE451" s="77" t="s">
        <v>1424</v>
      </c>
      <c r="CF451" s="244" t="s">
        <v>1801</v>
      </c>
      <c r="CG451" s="42" t="s">
        <v>1425</v>
      </c>
    </row>
    <row r="452" spans="7:85" x14ac:dyDescent="0.3">
      <c r="G452" s="12" t="s">
        <v>16</v>
      </c>
      <c r="H452" s="16" t="s">
        <v>348</v>
      </c>
      <c r="I452" s="12" t="s">
        <v>309</v>
      </c>
      <c r="J452" s="129" t="str">
        <f t="shared" si="31"/>
        <v>Natural Hoop</v>
      </c>
      <c r="K452" s="129"/>
      <c r="L452" s="129"/>
      <c r="AO452" s="14" t="s">
        <v>562</v>
      </c>
      <c r="AP452" s="12" t="s">
        <v>90</v>
      </c>
      <c r="AQ452" s="14" t="s">
        <v>22</v>
      </c>
      <c r="AR452" s="12" t="s">
        <v>948</v>
      </c>
      <c r="AS452" s="129" t="s">
        <v>1340</v>
      </c>
      <c r="CC452" s="12" t="s">
        <v>55</v>
      </c>
      <c r="CD452" s="12" t="s">
        <v>74</v>
      </c>
      <c r="CE452" s="77" t="s">
        <v>1424</v>
      </c>
      <c r="CF452" s="244" t="s">
        <v>1802</v>
      </c>
      <c r="CG452" s="42" t="s">
        <v>1425</v>
      </c>
    </row>
    <row r="453" spans="7:85" x14ac:dyDescent="0.3">
      <c r="G453" s="12" t="s">
        <v>16</v>
      </c>
      <c r="H453" s="16" t="s">
        <v>348</v>
      </c>
      <c r="I453" s="12" t="s">
        <v>907</v>
      </c>
      <c r="J453" s="129" t="str">
        <f t="shared" si="31"/>
        <v>Natural w/Inlay</v>
      </c>
      <c r="K453" s="129"/>
      <c r="L453" s="129"/>
      <c r="AO453" s="14" t="s">
        <v>562</v>
      </c>
      <c r="AP453" s="12" t="s">
        <v>90</v>
      </c>
      <c r="AQ453" s="14" t="s">
        <v>22</v>
      </c>
      <c r="AR453" s="12" t="s">
        <v>946</v>
      </c>
      <c r="AS453" s="129" t="s">
        <v>1339</v>
      </c>
      <c r="CC453" s="12" t="s">
        <v>55</v>
      </c>
      <c r="CD453" s="12" t="s">
        <v>77</v>
      </c>
      <c r="CE453" s="77" t="s">
        <v>1424</v>
      </c>
      <c r="CF453" s="244" t="s">
        <v>1803</v>
      </c>
      <c r="CG453" s="42" t="s">
        <v>1425</v>
      </c>
    </row>
    <row r="454" spans="7:85" x14ac:dyDescent="0.3">
      <c r="G454" s="12" t="s">
        <v>16</v>
      </c>
      <c r="H454" s="16" t="s">
        <v>348</v>
      </c>
      <c r="I454" s="12" t="s">
        <v>909</v>
      </c>
      <c r="J454" s="129" t="str">
        <f t="shared" si="31"/>
        <v>Natural w/Accent</v>
      </c>
      <c r="K454" s="129"/>
      <c r="L454" s="129"/>
      <c r="AO454" s="14" t="s">
        <v>562</v>
      </c>
      <c r="AP454" s="12" t="s">
        <v>90</v>
      </c>
      <c r="AQ454" s="14" t="s">
        <v>22</v>
      </c>
      <c r="AR454" s="12" t="s">
        <v>950</v>
      </c>
      <c r="AS454" s="129" t="s">
        <v>1341</v>
      </c>
      <c r="CC454" s="12" t="s">
        <v>55</v>
      </c>
      <c r="CD454" s="12" t="s">
        <v>81</v>
      </c>
      <c r="CE454" s="77" t="s">
        <v>1424</v>
      </c>
      <c r="CF454" s="244" t="s">
        <v>1804</v>
      </c>
      <c r="CG454" s="42" t="s">
        <v>1425</v>
      </c>
    </row>
    <row r="455" spans="7:85" x14ac:dyDescent="0.3">
      <c r="G455" s="12" t="s">
        <v>16</v>
      </c>
      <c r="H455" s="16" t="s">
        <v>348</v>
      </c>
      <c r="I455" s="12" t="s">
        <v>313</v>
      </c>
      <c r="J455" s="129" t="str">
        <f t="shared" si="31"/>
        <v>Sable Black</v>
      </c>
      <c r="K455" s="129"/>
      <c r="L455" s="129"/>
      <c r="AO455" s="14" t="s">
        <v>562</v>
      </c>
      <c r="AP455" s="12" t="s">
        <v>90</v>
      </c>
      <c r="AQ455" s="14" t="s">
        <v>22</v>
      </c>
      <c r="AR455" s="12" t="s">
        <v>954</v>
      </c>
      <c r="AS455" s="129" t="s">
        <v>1343</v>
      </c>
      <c r="CC455" s="12" t="s">
        <v>55</v>
      </c>
      <c r="CD455" s="12" t="s">
        <v>83</v>
      </c>
      <c r="CE455" s="77" t="s">
        <v>1424</v>
      </c>
      <c r="CF455" s="244" t="s">
        <v>1805</v>
      </c>
      <c r="CG455" s="42" t="s">
        <v>1425</v>
      </c>
    </row>
    <row r="456" spans="7:85" x14ac:dyDescent="0.3">
      <c r="G456" s="12" t="s">
        <v>17</v>
      </c>
      <c r="H456" s="16" t="s">
        <v>348</v>
      </c>
      <c r="I456" s="12" t="s">
        <v>902</v>
      </c>
      <c r="J456" s="129" t="str">
        <f t="shared" si="31"/>
        <v>Satin Sable w/Inlay</v>
      </c>
      <c r="K456" s="129"/>
      <c r="L456" s="129"/>
      <c r="AO456" s="14" t="s">
        <v>562</v>
      </c>
      <c r="AP456" s="12" t="s">
        <v>68</v>
      </c>
      <c r="AQ456" s="14" t="s">
        <v>518</v>
      </c>
      <c r="AR456" s="12" t="s">
        <v>946</v>
      </c>
      <c r="AS456" s="129" t="s">
        <v>1339</v>
      </c>
      <c r="CC456" s="12" t="s">
        <v>55</v>
      </c>
      <c r="CD456" s="12" t="s">
        <v>85</v>
      </c>
      <c r="CE456" s="77" t="s">
        <v>1424</v>
      </c>
      <c r="CF456" s="244" t="s">
        <v>1806</v>
      </c>
      <c r="CG456" s="42" t="s">
        <v>1425</v>
      </c>
    </row>
    <row r="457" spans="7:85" x14ac:dyDescent="0.3">
      <c r="G457" s="12" t="s">
        <v>17</v>
      </c>
      <c r="H457" s="16" t="s">
        <v>348</v>
      </c>
      <c r="I457" s="12" t="s">
        <v>904</v>
      </c>
      <c r="J457" s="129" t="str">
        <f t="shared" si="31"/>
        <v>Satin Natural w/Inlay</v>
      </c>
      <c r="K457" s="129"/>
      <c r="L457" s="129"/>
      <c r="AO457" s="14" t="s">
        <v>562</v>
      </c>
      <c r="AP457" s="12" t="s">
        <v>68</v>
      </c>
      <c r="AQ457" s="14" t="s">
        <v>518</v>
      </c>
      <c r="AR457" s="12" t="s">
        <v>950</v>
      </c>
      <c r="AS457" s="129" t="s">
        <v>1341</v>
      </c>
      <c r="CC457" s="12" t="s">
        <v>55</v>
      </c>
      <c r="CD457" s="12" t="s">
        <v>88</v>
      </c>
      <c r="CE457" s="77" t="s">
        <v>1424</v>
      </c>
      <c r="CF457" s="244" t="s">
        <v>1807</v>
      </c>
      <c r="CG457" s="42" t="s">
        <v>1425</v>
      </c>
    </row>
    <row r="458" spans="7:85" x14ac:dyDescent="0.3">
      <c r="G458" s="12" t="s">
        <v>17</v>
      </c>
      <c r="H458" s="16" t="s">
        <v>348</v>
      </c>
      <c r="I458" s="12" t="s">
        <v>26</v>
      </c>
      <c r="J458" s="129" t="str">
        <f t="shared" si="31"/>
        <v>Satin Sable</v>
      </c>
      <c r="K458" s="129"/>
      <c r="L458" s="129"/>
      <c r="AO458" s="14" t="s">
        <v>562</v>
      </c>
      <c r="AP458" s="12" t="s">
        <v>68</v>
      </c>
      <c r="AQ458" s="14" t="s">
        <v>518</v>
      </c>
      <c r="AR458" s="12" t="s">
        <v>954</v>
      </c>
      <c r="AS458" s="129" t="s">
        <v>1343</v>
      </c>
      <c r="CC458" s="12" t="s">
        <v>55</v>
      </c>
      <c r="CD458" s="12" t="s">
        <v>90</v>
      </c>
      <c r="CE458" s="77" t="s">
        <v>1424</v>
      </c>
      <c r="CF458" s="244" t="s">
        <v>1808</v>
      </c>
      <c r="CG458" s="42" t="s">
        <v>1425</v>
      </c>
    </row>
    <row r="459" spans="7:85" x14ac:dyDescent="0.3">
      <c r="G459" s="12" t="s">
        <v>17</v>
      </c>
      <c r="H459" s="16" t="s">
        <v>348</v>
      </c>
      <c r="I459" s="12" t="s">
        <v>914</v>
      </c>
      <c r="J459" s="129" t="str">
        <f t="shared" si="31"/>
        <v>Satin Sable w/Accent</v>
      </c>
      <c r="K459" s="129"/>
      <c r="L459" s="129"/>
      <c r="AO459" s="14" t="s">
        <v>562</v>
      </c>
      <c r="AP459" s="12" t="s">
        <v>68</v>
      </c>
      <c r="AQ459" s="14" t="s">
        <v>22</v>
      </c>
      <c r="AR459" s="12" t="s">
        <v>946</v>
      </c>
      <c r="AS459" s="129" t="s">
        <v>1339</v>
      </c>
      <c r="CC459" s="12" t="s">
        <v>55</v>
      </c>
      <c r="CD459" s="12" t="s">
        <v>93</v>
      </c>
      <c r="CE459" s="77" t="s">
        <v>1424</v>
      </c>
      <c r="CF459" s="244" t="s">
        <v>1809</v>
      </c>
      <c r="CG459" s="42" t="s">
        <v>1425</v>
      </c>
    </row>
    <row r="460" spans="7:85" x14ac:dyDescent="0.3">
      <c r="G460" s="12" t="s">
        <v>17</v>
      </c>
      <c r="H460" s="16" t="s">
        <v>348</v>
      </c>
      <c r="I460" s="12" t="s">
        <v>321</v>
      </c>
      <c r="J460" s="129" t="str">
        <f t="shared" si="31"/>
        <v>Satin Natural</v>
      </c>
      <c r="K460" s="129"/>
      <c r="L460" s="129"/>
      <c r="AO460" s="14" t="s">
        <v>562</v>
      </c>
      <c r="AP460" s="12" t="s">
        <v>68</v>
      </c>
      <c r="AQ460" s="14" t="s">
        <v>22</v>
      </c>
      <c r="AR460" s="12" t="s">
        <v>950</v>
      </c>
      <c r="AS460" s="129" t="s">
        <v>1341</v>
      </c>
      <c r="CC460" s="12" t="s">
        <v>55</v>
      </c>
      <c r="CD460" s="12" t="s">
        <v>95</v>
      </c>
      <c r="CE460" s="77" t="s">
        <v>1424</v>
      </c>
      <c r="CF460" s="244" t="s">
        <v>1810</v>
      </c>
      <c r="CG460" s="42" t="s">
        <v>1425</v>
      </c>
    </row>
    <row r="461" spans="7:85" x14ac:dyDescent="0.3">
      <c r="G461" s="12" t="s">
        <v>17</v>
      </c>
      <c r="H461" s="16" t="s">
        <v>348</v>
      </c>
      <c r="I461" s="12" t="s">
        <v>912</v>
      </c>
      <c r="J461" s="129" t="str">
        <f t="shared" si="31"/>
        <v>Satin Natural w/Accent</v>
      </c>
      <c r="K461" s="129"/>
      <c r="L461" s="129"/>
      <c r="AO461" s="14" t="s">
        <v>562</v>
      </c>
      <c r="AP461" s="12" t="s">
        <v>68</v>
      </c>
      <c r="AQ461" s="14" t="s">
        <v>22</v>
      </c>
      <c r="AR461" s="12" t="s">
        <v>954</v>
      </c>
      <c r="AS461" s="129" t="s">
        <v>1343</v>
      </c>
      <c r="CC461" s="12" t="s">
        <v>55</v>
      </c>
      <c r="CD461" s="12" t="s">
        <v>100</v>
      </c>
      <c r="CE461" s="77" t="s">
        <v>1424</v>
      </c>
      <c r="CF461" s="244" t="s">
        <v>1811</v>
      </c>
      <c r="CG461" s="42" t="s">
        <v>1425</v>
      </c>
    </row>
    <row r="462" spans="7:85" x14ac:dyDescent="0.3">
      <c r="G462" s="12" t="s">
        <v>17</v>
      </c>
      <c r="H462" s="16" t="s">
        <v>348</v>
      </c>
      <c r="I462" s="12" t="s">
        <v>309</v>
      </c>
      <c r="J462" s="129" t="str">
        <f t="shared" si="31"/>
        <v>Natural Hoop</v>
      </c>
      <c r="K462" s="129"/>
      <c r="L462" s="129"/>
      <c r="AO462" s="14" t="s">
        <v>562</v>
      </c>
      <c r="AP462" s="12" t="s">
        <v>81</v>
      </c>
      <c r="AQ462" s="14" t="s">
        <v>518</v>
      </c>
      <c r="AR462" s="12" t="s">
        <v>948</v>
      </c>
      <c r="AS462" s="129" t="s">
        <v>1340</v>
      </c>
      <c r="CC462" s="12" t="s">
        <v>55</v>
      </c>
      <c r="CD462" s="12" t="s">
        <v>104</v>
      </c>
      <c r="CE462" s="77" t="s">
        <v>1424</v>
      </c>
      <c r="CF462" s="244" t="s">
        <v>1812</v>
      </c>
      <c r="CG462" s="42" t="s">
        <v>1425</v>
      </c>
    </row>
    <row r="463" spans="7:85" x14ac:dyDescent="0.3">
      <c r="G463" s="12" t="s">
        <v>17</v>
      </c>
      <c r="H463" s="16" t="s">
        <v>348</v>
      </c>
      <c r="I463" s="12" t="s">
        <v>907</v>
      </c>
      <c r="J463" s="129" t="str">
        <f t="shared" si="31"/>
        <v>Natural w/Inlay</v>
      </c>
      <c r="K463" s="129"/>
      <c r="L463" s="129"/>
      <c r="AO463" s="14" t="s">
        <v>562</v>
      </c>
      <c r="AP463" s="12" t="s">
        <v>81</v>
      </c>
      <c r="AQ463" s="14" t="s">
        <v>518</v>
      </c>
      <c r="AR463" s="12" t="s">
        <v>946</v>
      </c>
      <c r="AS463" s="129" t="s">
        <v>1339</v>
      </c>
      <c r="CC463" s="12" t="s">
        <v>55</v>
      </c>
      <c r="CD463" s="12" t="s">
        <v>45</v>
      </c>
      <c r="CE463" s="77" t="s">
        <v>1426</v>
      </c>
      <c r="CF463" s="244" t="s">
        <v>1813</v>
      </c>
      <c r="CG463" s="42" t="s">
        <v>1427</v>
      </c>
    </row>
    <row r="464" spans="7:85" x14ac:dyDescent="0.3">
      <c r="G464" s="12" t="s">
        <v>17</v>
      </c>
      <c r="H464" s="16" t="s">
        <v>348</v>
      </c>
      <c r="I464" s="12" t="s">
        <v>909</v>
      </c>
      <c r="J464" s="129" t="str">
        <f t="shared" si="31"/>
        <v>Natural w/Accent</v>
      </c>
      <c r="K464" s="129"/>
      <c r="L464" s="129"/>
      <c r="AO464" s="14" t="s">
        <v>562</v>
      </c>
      <c r="AP464" s="12" t="s">
        <v>81</v>
      </c>
      <c r="AQ464" s="14" t="s">
        <v>518</v>
      </c>
      <c r="AR464" s="12" t="s">
        <v>950</v>
      </c>
      <c r="AS464" s="129" t="s">
        <v>1341</v>
      </c>
      <c r="CC464" s="12" t="s">
        <v>55</v>
      </c>
      <c r="CD464" s="12" t="s">
        <v>49</v>
      </c>
      <c r="CE464" s="77" t="s">
        <v>1426</v>
      </c>
      <c r="CF464" s="244" t="s">
        <v>1814</v>
      </c>
      <c r="CG464" s="42" t="s">
        <v>1427</v>
      </c>
    </row>
    <row r="465" spans="7:85" x14ac:dyDescent="0.3">
      <c r="G465" s="12" t="s">
        <v>17</v>
      </c>
      <c r="H465" s="16" t="s">
        <v>348</v>
      </c>
      <c r="I465" s="12" t="s">
        <v>313</v>
      </c>
      <c r="J465" s="129" t="str">
        <f t="shared" si="31"/>
        <v>Sable Black</v>
      </c>
      <c r="K465" s="129"/>
      <c r="L465" s="129"/>
      <c r="AO465" s="14" t="s">
        <v>562</v>
      </c>
      <c r="AP465" s="12" t="s">
        <v>81</v>
      </c>
      <c r="AQ465" s="14" t="s">
        <v>518</v>
      </c>
      <c r="AR465" s="12" t="s">
        <v>954</v>
      </c>
      <c r="AS465" s="129" t="s">
        <v>1343</v>
      </c>
      <c r="CC465" s="12" t="s">
        <v>55</v>
      </c>
      <c r="CD465" s="12" t="s">
        <v>51</v>
      </c>
      <c r="CE465" s="77" t="s">
        <v>1426</v>
      </c>
      <c r="CF465" s="244" t="s">
        <v>1815</v>
      </c>
      <c r="CG465" s="42" t="s">
        <v>1427</v>
      </c>
    </row>
    <row r="466" spans="7:85" x14ac:dyDescent="0.3">
      <c r="G466" s="12" t="s">
        <v>19</v>
      </c>
      <c r="H466" s="16" t="s">
        <v>348</v>
      </c>
      <c r="I466" s="12" t="s">
        <v>902</v>
      </c>
      <c r="J466" s="129" t="str">
        <f t="shared" si="31"/>
        <v>Satin Sable w/Inlay</v>
      </c>
      <c r="K466" s="129"/>
      <c r="L466" s="129"/>
      <c r="AO466" s="14" t="s">
        <v>562</v>
      </c>
      <c r="AP466" s="12" t="s">
        <v>81</v>
      </c>
      <c r="AQ466" s="14" t="s">
        <v>22</v>
      </c>
      <c r="AR466" s="12" t="s">
        <v>948</v>
      </c>
      <c r="AS466" s="129" t="s">
        <v>1340</v>
      </c>
      <c r="CC466" s="12" t="s">
        <v>55</v>
      </c>
      <c r="CD466" s="12" t="s">
        <v>54</v>
      </c>
      <c r="CE466" s="77" t="s">
        <v>1426</v>
      </c>
      <c r="CF466" s="244" t="s">
        <v>1816</v>
      </c>
      <c r="CG466" s="42" t="s">
        <v>1427</v>
      </c>
    </row>
    <row r="467" spans="7:85" x14ac:dyDescent="0.3">
      <c r="G467" s="12" t="s">
        <v>19</v>
      </c>
      <c r="H467" s="16" t="s">
        <v>348</v>
      </c>
      <c r="I467" s="12" t="s">
        <v>904</v>
      </c>
      <c r="J467" s="129" t="str">
        <f t="shared" si="31"/>
        <v>Satin Natural w/Inlay</v>
      </c>
      <c r="K467" s="129"/>
      <c r="L467" s="129"/>
      <c r="AO467" s="14" t="s">
        <v>562</v>
      </c>
      <c r="AP467" s="12" t="s">
        <v>81</v>
      </c>
      <c r="AQ467" s="14" t="s">
        <v>22</v>
      </c>
      <c r="AR467" s="12" t="s">
        <v>946</v>
      </c>
      <c r="AS467" s="129" t="s">
        <v>1339</v>
      </c>
      <c r="CC467" s="12" t="s">
        <v>55</v>
      </c>
      <c r="CD467" s="12" t="s">
        <v>58</v>
      </c>
      <c r="CE467" s="77" t="s">
        <v>1426</v>
      </c>
      <c r="CF467" s="244" t="s">
        <v>1817</v>
      </c>
      <c r="CG467" s="42" t="s">
        <v>1427</v>
      </c>
    </row>
    <row r="468" spans="7:85" x14ac:dyDescent="0.3">
      <c r="G468" s="12" t="s">
        <v>19</v>
      </c>
      <c r="H468" s="16" t="s">
        <v>348</v>
      </c>
      <c r="I468" s="12" t="s">
        <v>26</v>
      </c>
      <c r="J468" s="129" t="str">
        <f t="shared" ref="J468:J531" si="32">INDEX($C$3:$C$15,MATCH(I468,$B$3:$B$15,0))</f>
        <v>Satin Sable</v>
      </c>
      <c r="K468" s="129"/>
      <c r="L468" s="129"/>
      <c r="AO468" s="14" t="s">
        <v>562</v>
      </c>
      <c r="AP468" s="12" t="s">
        <v>81</v>
      </c>
      <c r="AQ468" s="14" t="s">
        <v>22</v>
      </c>
      <c r="AR468" s="12" t="s">
        <v>950</v>
      </c>
      <c r="AS468" s="129" t="s">
        <v>1341</v>
      </c>
      <c r="CC468" s="12" t="s">
        <v>55</v>
      </c>
      <c r="CD468" s="12" t="s">
        <v>62</v>
      </c>
      <c r="CE468" s="77" t="s">
        <v>1426</v>
      </c>
      <c r="CF468" s="244" t="s">
        <v>1818</v>
      </c>
      <c r="CG468" s="42" t="s">
        <v>1427</v>
      </c>
    </row>
    <row r="469" spans="7:85" x14ac:dyDescent="0.3">
      <c r="G469" s="12" t="s">
        <v>19</v>
      </c>
      <c r="H469" s="16" t="s">
        <v>348</v>
      </c>
      <c r="I469" s="12" t="s">
        <v>914</v>
      </c>
      <c r="J469" s="129" t="str">
        <f t="shared" si="32"/>
        <v>Satin Sable w/Accent</v>
      </c>
      <c r="K469" s="129"/>
      <c r="L469" s="129"/>
      <c r="AO469" s="14" t="s">
        <v>562</v>
      </c>
      <c r="AP469" s="12" t="s">
        <v>81</v>
      </c>
      <c r="AQ469" s="14" t="s">
        <v>22</v>
      </c>
      <c r="AR469" s="12" t="s">
        <v>954</v>
      </c>
      <c r="AS469" s="129" t="s">
        <v>1343</v>
      </c>
      <c r="CC469" s="12" t="s">
        <v>55</v>
      </c>
      <c r="CD469" s="12" t="s">
        <v>64</v>
      </c>
      <c r="CE469" s="77" t="s">
        <v>1426</v>
      </c>
      <c r="CF469" s="244" t="s">
        <v>1819</v>
      </c>
      <c r="CG469" s="42" t="s">
        <v>1427</v>
      </c>
    </row>
    <row r="470" spans="7:85" x14ac:dyDescent="0.3">
      <c r="G470" s="12" t="s">
        <v>19</v>
      </c>
      <c r="H470" s="16" t="s">
        <v>348</v>
      </c>
      <c r="I470" s="12" t="s">
        <v>321</v>
      </c>
      <c r="J470" s="129" t="str">
        <f t="shared" si="32"/>
        <v>Satin Natural</v>
      </c>
      <c r="K470" s="129"/>
      <c r="L470" s="129"/>
      <c r="AO470" s="14" t="s">
        <v>562</v>
      </c>
      <c r="AP470" s="12" t="s">
        <v>93</v>
      </c>
      <c r="AQ470" s="14" t="s">
        <v>518</v>
      </c>
      <c r="AR470" s="12" t="s">
        <v>948</v>
      </c>
      <c r="AS470" s="129" t="s">
        <v>1340</v>
      </c>
      <c r="CC470" s="12" t="s">
        <v>55</v>
      </c>
      <c r="CD470" s="12" t="s">
        <v>68</v>
      </c>
      <c r="CE470" s="77" t="s">
        <v>1426</v>
      </c>
      <c r="CF470" s="244" t="s">
        <v>1820</v>
      </c>
      <c r="CG470" s="42" t="s">
        <v>1427</v>
      </c>
    </row>
    <row r="471" spans="7:85" x14ac:dyDescent="0.3">
      <c r="G471" s="12" t="s">
        <v>19</v>
      </c>
      <c r="H471" s="16" t="s">
        <v>348</v>
      </c>
      <c r="I471" s="12" t="s">
        <v>912</v>
      </c>
      <c r="J471" s="129" t="str">
        <f t="shared" si="32"/>
        <v>Satin Natural w/Accent</v>
      </c>
      <c r="K471" s="129"/>
      <c r="L471" s="129"/>
      <c r="AO471" s="14" t="s">
        <v>562</v>
      </c>
      <c r="AP471" s="12" t="s">
        <v>93</v>
      </c>
      <c r="AQ471" s="14" t="s">
        <v>518</v>
      </c>
      <c r="AR471" s="12" t="s">
        <v>946</v>
      </c>
      <c r="AS471" s="129" t="s">
        <v>1339</v>
      </c>
      <c r="CC471" s="12" t="s">
        <v>55</v>
      </c>
      <c r="CD471" s="12" t="s">
        <v>67</v>
      </c>
      <c r="CE471" s="77" t="s">
        <v>1426</v>
      </c>
      <c r="CF471" s="244" t="s">
        <v>1821</v>
      </c>
      <c r="CG471" s="42" t="s">
        <v>1427</v>
      </c>
    </row>
    <row r="472" spans="7:85" x14ac:dyDescent="0.3">
      <c r="G472" s="12" t="s">
        <v>19</v>
      </c>
      <c r="H472" s="16" t="s">
        <v>348</v>
      </c>
      <c r="I472" s="12" t="s">
        <v>309</v>
      </c>
      <c r="J472" s="129" t="str">
        <f t="shared" si="32"/>
        <v>Natural Hoop</v>
      </c>
      <c r="K472" s="129"/>
      <c r="L472" s="129"/>
      <c r="AO472" s="14" t="s">
        <v>562</v>
      </c>
      <c r="AP472" s="12" t="s">
        <v>93</v>
      </c>
      <c r="AQ472" s="14" t="s">
        <v>518</v>
      </c>
      <c r="AR472" s="12" t="s">
        <v>950</v>
      </c>
      <c r="AS472" s="129" t="s">
        <v>1341</v>
      </c>
      <c r="CC472" s="12" t="s">
        <v>55</v>
      </c>
      <c r="CD472" s="12" t="s">
        <v>71</v>
      </c>
      <c r="CE472" s="77" t="s">
        <v>1426</v>
      </c>
      <c r="CF472" s="244" t="s">
        <v>1822</v>
      </c>
      <c r="CG472" s="42" t="s">
        <v>1427</v>
      </c>
    </row>
    <row r="473" spans="7:85" x14ac:dyDescent="0.3">
      <c r="G473" s="12" t="s">
        <v>19</v>
      </c>
      <c r="H473" s="16" t="s">
        <v>348</v>
      </c>
      <c r="I473" s="12" t="s">
        <v>313</v>
      </c>
      <c r="J473" s="129" t="str">
        <f t="shared" si="32"/>
        <v>Sable Black</v>
      </c>
      <c r="K473" s="129"/>
      <c r="L473" s="129"/>
      <c r="AO473" s="14" t="s">
        <v>562</v>
      </c>
      <c r="AP473" s="12" t="s">
        <v>93</v>
      </c>
      <c r="AQ473" s="14" t="s">
        <v>518</v>
      </c>
      <c r="AR473" s="12" t="s">
        <v>954</v>
      </c>
      <c r="AS473" s="129" t="s">
        <v>1343</v>
      </c>
      <c r="CC473" s="12" t="s">
        <v>55</v>
      </c>
      <c r="CD473" s="12" t="s">
        <v>74</v>
      </c>
      <c r="CE473" s="77" t="s">
        <v>1426</v>
      </c>
      <c r="CF473" s="244" t="s">
        <v>1823</v>
      </c>
      <c r="CG473" s="42" t="s">
        <v>1427</v>
      </c>
    </row>
    <row r="474" spans="7:85" x14ac:dyDescent="0.3">
      <c r="G474" s="12" t="s">
        <v>15</v>
      </c>
      <c r="H474" s="12" t="s">
        <v>350</v>
      </c>
      <c r="I474" s="12" t="s">
        <v>904</v>
      </c>
      <c r="J474" s="129" t="str">
        <f t="shared" si="32"/>
        <v>Satin Natural w/Inlay</v>
      </c>
      <c r="K474" s="129"/>
      <c r="L474" s="129"/>
      <c r="AO474" s="14" t="s">
        <v>562</v>
      </c>
      <c r="AP474" s="12" t="s">
        <v>93</v>
      </c>
      <c r="AQ474" s="14" t="s">
        <v>22</v>
      </c>
      <c r="AR474" s="12" t="s">
        <v>948</v>
      </c>
      <c r="AS474" s="129" t="s">
        <v>1340</v>
      </c>
      <c r="CC474" s="12" t="s">
        <v>55</v>
      </c>
      <c r="CD474" s="12" t="s">
        <v>77</v>
      </c>
      <c r="CE474" s="77" t="s">
        <v>1426</v>
      </c>
      <c r="CF474" s="244" t="s">
        <v>1824</v>
      </c>
      <c r="CG474" s="42" t="s">
        <v>1427</v>
      </c>
    </row>
    <row r="475" spans="7:85" x14ac:dyDescent="0.3">
      <c r="G475" s="12" t="s">
        <v>15</v>
      </c>
      <c r="H475" s="12" t="s">
        <v>350</v>
      </c>
      <c r="I475" s="12" t="s">
        <v>902</v>
      </c>
      <c r="J475" s="129" t="str">
        <f t="shared" si="32"/>
        <v>Satin Sable w/Inlay</v>
      </c>
      <c r="K475" s="129"/>
      <c r="L475" s="129"/>
      <c r="AO475" s="14" t="s">
        <v>562</v>
      </c>
      <c r="AP475" s="12" t="s">
        <v>93</v>
      </c>
      <c r="AQ475" s="14" t="s">
        <v>22</v>
      </c>
      <c r="AR475" s="12" t="s">
        <v>946</v>
      </c>
      <c r="AS475" s="129" t="s">
        <v>1339</v>
      </c>
      <c r="CC475" s="12" t="s">
        <v>55</v>
      </c>
      <c r="CD475" s="12" t="s">
        <v>81</v>
      </c>
      <c r="CE475" s="77" t="s">
        <v>1426</v>
      </c>
      <c r="CF475" s="244" t="s">
        <v>1825</v>
      </c>
      <c r="CG475" s="42" t="s">
        <v>1427</v>
      </c>
    </row>
    <row r="476" spans="7:85" x14ac:dyDescent="0.3">
      <c r="G476" s="12" t="s">
        <v>15</v>
      </c>
      <c r="H476" s="12" t="s">
        <v>350</v>
      </c>
      <c r="I476" s="12" t="s">
        <v>321</v>
      </c>
      <c r="J476" s="129" t="str">
        <f t="shared" si="32"/>
        <v>Satin Natural</v>
      </c>
      <c r="K476" s="129"/>
      <c r="L476" s="129"/>
      <c r="AO476" s="14" t="s">
        <v>562</v>
      </c>
      <c r="AP476" s="12" t="s">
        <v>93</v>
      </c>
      <c r="AQ476" s="14" t="s">
        <v>22</v>
      </c>
      <c r="AR476" s="12" t="s">
        <v>950</v>
      </c>
      <c r="AS476" s="129" t="s">
        <v>1341</v>
      </c>
      <c r="CC476" s="12" t="s">
        <v>55</v>
      </c>
      <c r="CD476" s="12" t="s">
        <v>83</v>
      </c>
      <c r="CE476" s="77" t="s">
        <v>1426</v>
      </c>
      <c r="CF476" s="244" t="s">
        <v>1826</v>
      </c>
      <c r="CG476" s="42" t="s">
        <v>1427</v>
      </c>
    </row>
    <row r="477" spans="7:85" x14ac:dyDescent="0.3">
      <c r="G477" s="12" t="s">
        <v>15</v>
      </c>
      <c r="H477" s="12" t="s">
        <v>350</v>
      </c>
      <c r="I477" s="12" t="s">
        <v>912</v>
      </c>
      <c r="J477" s="129" t="str">
        <f t="shared" si="32"/>
        <v>Satin Natural w/Accent</v>
      </c>
      <c r="K477" s="129"/>
      <c r="L477" s="129"/>
      <c r="AO477" s="14" t="s">
        <v>562</v>
      </c>
      <c r="AP477" s="12" t="s">
        <v>93</v>
      </c>
      <c r="AQ477" s="14" t="s">
        <v>22</v>
      </c>
      <c r="AR477" s="12" t="s">
        <v>954</v>
      </c>
      <c r="AS477" s="129" t="s">
        <v>1343</v>
      </c>
      <c r="CC477" s="12" t="s">
        <v>55</v>
      </c>
      <c r="CD477" s="12" t="s">
        <v>85</v>
      </c>
      <c r="CE477" s="77" t="s">
        <v>1426</v>
      </c>
      <c r="CF477" s="244" t="s">
        <v>1827</v>
      </c>
      <c r="CG477" s="42" t="s">
        <v>1427</v>
      </c>
    </row>
    <row r="478" spans="7:85" x14ac:dyDescent="0.3">
      <c r="G478" s="12" t="s">
        <v>15</v>
      </c>
      <c r="H478" s="12" t="s">
        <v>350</v>
      </c>
      <c r="I478" s="12" t="s">
        <v>26</v>
      </c>
      <c r="J478" s="129" t="str">
        <f t="shared" si="32"/>
        <v>Satin Sable</v>
      </c>
      <c r="K478" s="129"/>
      <c r="L478" s="129"/>
      <c r="CC478" s="12" t="s">
        <v>55</v>
      </c>
      <c r="CD478" s="12" t="s">
        <v>88</v>
      </c>
      <c r="CE478" s="77" t="s">
        <v>1426</v>
      </c>
      <c r="CF478" s="244" t="s">
        <v>1828</v>
      </c>
      <c r="CG478" s="42" t="s">
        <v>1427</v>
      </c>
    </row>
    <row r="479" spans="7:85" x14ac:dyDescent="0.3">
      <c r="G479" s="12" t="s">
        <v>15</v>
      </c>
      <c r="H479" s="12" t="s">
        <v>350</v>
      </c>
      <c r="I479" s="12" t="s">
        <v>914</v>
      </c>
      <c r="J479" s="129" t="str">
        <f t="shared" si="32"/>
        <v>Satin Sable w/Accent</v>
      </c>
      <c r="K479" s="129"/>
      <c r="L479" s="129"/>
      <c r="CC479" s="12" t="s">
        <v>55</v>
      </c>
      <c r="CD479" s="12" t="s">
        <v>90</v>
      </c>
      <c r="CE479" s="77" t="s">
        <v>1426</v>
      </c>
      <c r="CF479" s="244" t="s">
        <v>1829</v>
      </c>
      <c r="CG479" s="42" t="s">
        <v>1427</v>
      </c>
    </row>
    <row r="480" spans="7:85" x14ac:dyDescent="0.3">
      <c r="G480" s="12" t="s">
        <v>15</v>
      </c>
      <c r="H480" s="12" t="s">
        <v>350</v>
      </c>
      <c r="I480" s="12" t="s">
        <v>309</v>
      </c>
      <c r="J480" s="129" t="str">
        <f t="shared" si="32"/>
        <v>Natural Hoop</v>
      </c>
      <c r="K480" s="129"/>
      <c r="L480" s="129"/>
      <c r="CC480" s="12" t="s">
        <v>55</v>
      </c>
      <c r="CD480" s="12" t="s">
        <v>93</v>
      </c>
      <c r="CE480" s="77" t="s">
        <v>1426</v>
      </c>
      <c r="CF480" s="244" t="s">
        <v>1830</v>
      </c>
      <c r="CG480" s="42" t="s">
        <v>1427</v>
      </c>
    </row>
    <row r="481" spans="7:85" x14ac:dyDescent="0.3">
      <c r="G481" s="12" t="s">
        <v>15</v>
      </c>
      <c r="H481" s="12" t="s">
        <v>350</v>
      </c>
      <c r="I481" s="12" t="s">
        <v>907</v>
      </c>
      <c r="J481" s="129" t="str">
        <f t="shared" si="32"/>
        <v>Natural w/Inlay</v>
      </c>
      <c r="K481" s="129"/>
      <c r="CC481" s="12" t="s">
        <v>55</v>
      </c>
      <c r="CD481" s="12" t="s">
        <v>95</v>
      </c>
      <c r="CE481" s="77" t="s">
        <v>1426</v>
      </c>
      <c r="CF481" s="244" t="s">
        <v>1831</v>
      </c>
      <c r="CG481" s="42" t="s">
        <v>1427</v>
      </c>
    </row>
    <row r="482" spans="7:85" x14ac:dyDescent="0.3">
      <c r="G482" s="12" t="s">
        <v>15</v>
      </c>
      <c r="H482" s="12" t="s">
        <v>350</v>
      </c>
      <c r="I482" s="12" t="s">
        <v>909</v>
      </c>
      <c r="J482" s="129" t="str">
        <f t="shared" si="32"/>
        <v>Natural w/Accent</v>
      </c>
      <c r="K482" s="129"/>
      <c r="CC482" s="12" t="s">
        <v>55</v>
      </c>
      <c r="CD482" s="12" t="s">
        <v>100</v>
      </c>
      <c r="CE482" s="77" t="s">
        <v>1426</v>
      </c>
      <c r="CF482" s="244" t="s">
        <v>1832</v>
      </c>
      <c r="CG482" s="42" t="s">
        <v>1427</v>
      </c>
    </row>
    <row r="483" spans="7:85" x14ac:dyDescent="0.3">
      <c r="G483" s="12" t="s">
        <v>15</v>
      </c>
      <c r="H483" s="12" t="s">
        <v>350</v>
      </c>
      <c r="I483" s="12" t="s">
        <v>313</v>
      </c>
      <c r="J483" s="129" t="str">
        <f t="shared" si="32"/>
        <v>Sable Black</v>
      </c>
      <c r="K483" s="129"/>
      <c r="CC483" s="12" t="s">
        <v>55</v>
      </c>
      <c r="CD483" s="12" t="s">
        <v>104</v>
      </c>
      <c r="CE483" s="77" t="s">
        <v>1426</v>
      </c>
      <c r="CF483" s="244" t="s">
        <v>1833</v>
      </c>
      <c r="CG483" s="42" t="s">
        <v>1427</v>
      </c>
    </row>
    <row r="484" spans="7:85" x14ac:dyDescent="0.3">
      <c r="G484" s="12" t="s">
        <v>16</v>
      </c>
      <c r="H484" s="12" t="s">
        <v>350</v>
      </c>
      <c r="I484" s="12" t="s">
        <v>904</v>
      </c>
      <c r="J484" s="129" t="str">
        <f t="shared" si="32"/>
        <v>Satin Natural w/Inlay</v>
      </c>
      <c r="K484" s="129"/>
      <c r="CC484" s="12" t="s">
        <v>55</v>
      </c>
      <c r="CD484" s="12" t="s">
        <v>45</v>
      </c>
      <c r="CE484" s="77" t="s">
        <v>1428</v>
      </c>
      <c r="CF484" s="244" t="s">
        <v>1834</v>
      </c>
      <c r="CG484" s="42" t="s">
        <v>1429</v>
      </c>
    </row>
    <row r="485" spans="7:85" x14ac:dyDescent="0.3">
      <c r="G485" s="12" t="s">
        <v>16</v>
      </c>
      <c r="H485" s="12" t="s">
        <v>350</v>
      </c>
      <c r="I485" s="12" t="s">
        <v>902</v>
      </c>
      <c r="J485" s="129" t="str">
        <f t="shared" si="32"/>
        <v>Satin Sable w/Inlay</v>
      </c>
      <c r="K485" s="129"/>
      <c r="CC485" s="12" t="s">
        <v>55</v>
      </c>
      <c r="CD485" s="12" t="s">
        <v>49</v>
      </c>
      <c r="CE485" s="77" t="s">
        <v>1428</v>
      </c>
      <c r="CF485" s="244" t="s">
        <v>1835</v>
      </c>
      <c r="CG485" s="42" t="s">
        <v>1429</v>
      </c>
    </row>
    <row r="486" spans="7:85" x14ac:dyDescent="0.3">
      <c r="G486" s="12" t="s">
        <v>16</v>
      </c>
      <c r="H486" s="12" t="s">
        <v>350</v>
      </c>
      <c r="I486" s="12" t="s">
        <v>321</v>
      </c>
      <c r="J486" s="129" t="str">
        <f t="shared" si="32"/>
        <v>Satin Natural</v>
      </c>
      <c r="K486" s="129"/>
      <c r="CC486" s="12" t="s">
        <v>55</v>
      </c>
      <c r="CD486" s="12" t="s">
        <v>51</v>
      </c>
      <c r="CE486" s="77" t="s">
        <v>1428</v>
      </c>
      <c r="CF486" s="244" t="s">
        <v>1836</v>
      </c>
      <c r="CG486" s="42" t="s">
        <v>1429</v>
      </c>
    </row>
    <row r="487" spans="7:85" x14ac:dyDescent="0.3">
      <c r="G487" s="12" t="s">
        <v>16</v>
      </c>
      <c r="H487" s="12" t="s">
        <v>350</v>
      </c>
      <c r="I487" s="12" t="s">
        <v>912</v>
      </c>
      <c r="J487" s="129" t="str">
        <f t="shared" si="32"/>
        <v>Satin Natural w/Accent</v>
      </c>
      <c r="K487" s="129"/>
      <c r="CC487" s="12" t="s">
        <v>55</v>
      </c>
      <c r="CD487" s="12" t="s">
        <v>54</v>
      </c>
      <c r="CE487" s="77" t="s">
        <v>1428</v>
      </c>
      <c r="CF487" s="244" t="s">
        <v>1837</v>
      </c>
      <c r="CG487" s="42" t="s">
        <v>1429</v>
      </c>
    </row>
    <row r="488" spans="7:85" x14ac:dyDescent="0.3">
      <c r="G488" s="12" t="s">
        <v>16</v>
      </c>
      <c r="H488" s="12" t="s">
        <v>350</v>
      </c>
      <c r="I488" s="12" t="s">
        <v>26</v>
      </c>
      <c r="J488" s="129" t="str">
        <f t="shared" si="32"/>
        <v>Satin Sable</v>
      </c>
      <c r="K488" s="129"/>
      <c r="CC488" s="12" t="s">
        <v>55</v>
      </c>
      <c r="CD488" s="12" t="s">
        <v>58</v>
      </c>
      <c r="CE488" s="77" t="s">
        <v>1428</v>
      </c>
      <c r="CF488" s="244" t="s">
        <v>1838</v>
      </c>
      <c r="CG488" s="42" t="s">
        <v>1429</v>
      </c>
    </row>
    <row r="489" spans="7:85" x14ac:dyDescent="0.3">
      <c r="G489" s="12" t="s">
        <v>16</v>
      </c>
      <c r="H489" s="12" t="s">
        <v>350</v>
      </c>
      <c r="I489" s="12" t="s">
        <v>914</v>
      </c>
      <c r="J489" s="129" t="str">
        <f t="shared" si="32"/>
        <v>Satin Sable w/Accent</v>
      </c>
      <c r="K489" s="129"/>
      <c r="CC489" s="12" t="s">
        <v>55</v>
      </c>
      <c r="CD489" s="12" t="s">
        <v>62</v>
      </c>
      <c r="CE489" s="77" t="s">
        <v>1428</v>
      </c>
      <c r="CF489" s="244" t="s">
        <v>1839</v>
      </c>
      <c r="CG489" s="42" t="s">
        <v>1429</v>
      </c>
    </row>
    <row r="490" spans="7:85" x14ac:dyDescent="0.3">
      <c r="G490" s="12" t="s">
        <v>16</v>
      </c>
      <c r="H490" s="12" t="s">
        <v>350</v>
      </c>
      <c r="I490" s="12" t="s">
        <v>309</v>
      </c>
      <c r="J490" s="129" t="str">
        <f t="shared" si="32"/>
        <v>Natural Hoop</v>
      </c>
      <c r="K490" s="129"/>
      <c r="CC490" s="12" t="s">
        <v>55</v>
      </c>
      <c r="CD490" s="12" t="s">
        <v>64</v>
      </c>
      <c r="CE490" s="77" t="s">
        <v>1428</v>
      </c>
      <c r="CF490" s="244" t="s">
        <v>1840</v>
      </c>
      <c r="CG490" s="42" t="s">
        <v>1429</v>
      </c>
    </row>
    <row r="491" spans="7:85" x14ac:dyDescent="0.3">
      <c r="G491" s="12" t="s">
        <v>16</v>
      </c>
      <c r="H491" s="12" t="s">
        <v>350</v>
      </c>
      <c r="I491" s="12" t="s">
        <v>907</v>
      </c>
      <c r="J491" s="129" t="str">
        <f t="shared" si="32"/>
        <v>Natural w/Inlay</v>
      </c>
      <c r="K491" s="129"/>
      <c r="CC491" s="12" t="s">
        <v>55</v>
      </c>
      <c r="CD491" s="12" t="s">
        <v>68</v>
      </c>
      <c r="CE491" s="77" t="s">
        <v>1428</v>
      </c>
      <c r="CF491" s="244" t="s">
        <v>1841</v>
      </c>
      <c r="CG491" s="42" t="s">
        <v>1429</v>
      </c>
    </row>
    <row r="492" spans="7:85" x14ac:dyDescent="0.3">
      <c r="G492" s="12" t="s">
        <v>16</v>
      </c>
      <c r="H492" s="12" t="s">
        <v>350</v>
      </c>
      <c r="I492" s="12" t="s">
        <v>909</v>
      </c>
      <c r="J492" s="129" t="str">
        <f t="shared" si="32"/>
        <v>Natural w/Accent</v>
      </c>
      <c r="K492" s="129"/>
      <c r="CC492" s="12" t="s">
        <v>55</v>
      </c>
      <c r="CD492" s="12" t="s">
        <v>67</v>
      </c>
      <c r="CE492" s="77" t="s">
        <v>1428</v>
      </c>
      <c r="CF492" s="244" t="s">
        <v>1842</v>
      </c>
      <c r="CG492" s="42" t="s">
        <v>1429</v>
      </c>
    </row>
    <row r="493" spans="7:85" x14ac:dyDescent="0.3">
      <c r="G493" s="12" t="s">
        <v>16</v>
      </c>
      <c r="H493" s="12" t="s">
        <v>350</v>
      </c>
      <c r="I493" s="12" t="s">
        <v>313</v>
      </c>
      <c r="J493" s="129" t="str">
        <f t="shared" si="32"/>
        <v>Sable Black</v>
      </c>
      <c r="K493" s="129"/>
      <c r="CC493" s="12" t="s">
        <v>55</v>
      </c>
      <c r="CD493" s="12" t="s">
        <v>71</v>
      </c>
      <c r="CE493" s="77" t="s">
        <v>1428</v>
      </c>
      <c r="CF493" s="244" t="s">
        <v>1843</v>
      </c>
      <c r="CG493" s="42" t="s">
        <v>1429</v>
      </c>
    </row>
    <row r="494" spans="7:85" x14ac:dyDescent="0.3">
      <c r="G494" s="12" t="s">
        <v>17</v>
      </c>
      <c r="H494" s="12" t="s">
        <v>350</v>
      </c>
      <c r="I494" s="12" t="s">
        <v>904</v>
      </c>
      <c r="J494" s="129" t="str">
        <f t="shared" si="32"/>
        <v>Satin Natural w/Inlay</v>
      </c>
      <c r="K494" s="129"/>
      <c r="CC494" s="12" t="s">
        <v>55</v>
      </c>
      <c r="CD494" s="12" t="s">
        <v>74</v>
      </c>
      <c r="CE494" s="77" t="s">
        <v>1428</v>
      </c>
      <c r="CF494" s="244" t="s">
        <v>1844</v>
      </c>
      <c r="CG494" s="42" t="s">
        <v>1429</v>
      </c>
    </row>
    <row r="495" spans="7:85" x14ac:dyDescent="0.3">
      <c r="G495" s="12" t="s">
        <v>17</v>
      </c>
      <c r="H495" s="12" t="s">
        <v>350</v>
      </c>
      <c r="I495" s="12" t="s">
        <v>902</v>
      </c>
      <c r="J495" s="129" t="str">
        <f t="shared" si="32"/>
        <v>Satin Sable w/Inlay</v>
      </c>
      <c r="K495" s="129"/>
      <c r="CC495" s="12" t="s">
        <v>55</v>
      </c>
      <c r="CD495" s="12" t="s">
        <v>77</v>
      </c>
      <c r="CE495" s="77" t="s">
        <v>1428</v>
      </c>
      <c r="CF495" s="244" t="s">
        <v>1845</v>
      </c>
      <c r="CG495" s="42" t="s">
        <v>1429</v>
      </c>
    </row>
    <row r="496" spans="7:85" x14ac:dyDescent="0.3">
      <c r="G496" s="12" t="s">
        <v>17</v>
      </c>
      <c r="H496" s="12" t="s">
        <v>350</v>
      </c>
      <c r="I496" s="12" t="s">
        <v>321</v>
      </c>
      <c r="J496" s="129" t="str">
        <f t="shared" si="32"/>
        <v>Satin Natural</v>
      </c>
      <c r="K496" s="129"/>
      <c r="CC496" s="12" t="s">
        <v>55</v>
      </c>
      <c r="CD496" s="12" t="s">
        <v>81</v>
      </c>
      <c r="CE496" s="77" t="s">
        <v>1428</v>
      </c>
      <c r="CF496" s="244" t="s">
        <v>1846</v>
      </c>
      <c r="CG496" s="42" t="s">
        <v>1429</v>
      </c>
    </row>
    <row r="497" spans="7:85" x14ac:dyDescent="0.3">
      <c r="G497" s="12" t="s">
        <v>17</v>
      </c>
      <c r="H497" s="12" t="s">
        <v>350</v>
      </c>
      <c r="I497" s="12" t="s">
        <v>912</v>
      </c>
      <c r="J497" s="129" t="str">
        <f t="shared" si="32"/>
        <v>Satin Natural w/Accent</v>
      </c>
      <c r="K497" s="129"/>
      <c r="CC497" s="12" t="s">
        <v>55</v>
      </c>
      <c r="CD497" s="12" t="s">
        <v>83</v>
      </c>
      <c r="CE497" s="77" t="s">
        <v>1428</v>
      </c>
      <c r="CF497" s="244" t="s">
        <v>1847</v>
      </c>
      <c r="CG497" s="42" t="s">
        <v>1429</v>
      </c>
    </row>
    <row r="498" spans="7:85" x14ac:dyDescent="0.3">
      <c r="G498" s="12" t="s">
        <v>17</v>
      </c>
      <c r="H498" s="12" t="s">
        <v>350</v>
      </c>
      <c r="I498" s="12" t="s">
        <v>26</v>
      </c>
      <c r="J498" s="129" t="str">
        <f t="shared" si="32"/>
        <v>Satin Sable</v>
      </c>
      <c r="K498" s="129"/>
      <c r="CC498" s="12" t="s">
        <v>55</v>
      </c>
      <c r="CD498" s="12" t="s">
        <v>85</v>
      </c>
      <c r="CE498" s="77" t="s">
        <v>1428</v>
      </c>
      <c r="CF498" s="244" t="s">
        <v>1848</v>
      </c>
      <c r="CG498" s="42" t="s">
        <v>1429</v>
      </c>
    </row>
    <row r="499" spans="7:85" x14ac:dyDescent="0.3">
      <c r="G499" s="12" t="s">
        <v>17</v>
      </c>
      <c r="H499" s="12" t="s">
        <v>350</v>
      </c>
      <c r="I499" s="12" t="s">
        <v>914</v>
      </c>
      <c r="J499" s="129" t="str">
        <f t="shared" si="32"/>
        <v>Satin Sable w/Accent</v>
      </c>
      <c r="K499" s="129"/>
      <c r="CC499" s="12" t="s">
        <v>55</v>
      </c>
      <c r="CD499" s="12" t="s">
        <v>88</v>
      </c>
      <c r="CE499" s="77" t="s">
        <v>1428</v>
      </c>
      <c r="CF499" s="244" t="s">
        <v>1849</v>
      </c>
      <c r="CG499" s="42" t="s">
        <v>1429</v>
      </c>
    </row>
    <row r="500" spans="7:85" x14ac:dyDescent="0.3">
      <c r="G500" s="12" t="s">
        <v>17</v>
      </c>
      <c r="H500" s="12" t="s">
        <v>350</v>
      </c>
      <c r="I500" s="12" t="s">
        <v>309</v>
      </c>
      <c r="J500" s="129" t="str">
        <f t="shared" si="32"/>
        <v>Natural Hoop</v>
      </c>
      <c r="K500" s="129"/>
      <c r="CC500" s="12" t="s">
        <v>55</v>
      </c>
      <c r="CD500" s="12" t="s">
        <v>90</v>
      </c>
      <c r="CE500" s="77" t="s">
        <v>1428</v>
      </c>
      <c r="CF500" s="244" t="s">
        <v>1850</v>
      </c>
      <c r="CG500" s="42" t="s">
        <v>1429</v>
      </c>
    </row>
    <row r="501" spans="7:85" x14ac:dyDescent="0.3">
      <c r="G501" s="12" t="s">
        <v>17</v>
      </c>
      <c r="H501" s="12" t="s">
        <v>350</v>
      </c>
      <c r="I501" s="12" t="s">
        <v>907</v>
      </c>
      <c r="J501" s="129" t="str">
        <f t="shared" si="32"/>
        <v>Natural w/Inlay</v>
      </c>
      <c r="K501" s="129"/>
      <c r="CC501" s="12" t="s">
        <v>55</v>
      </c>
      <c r="CD501" s="12" t="s">
        <v>93</v>
      </c>
      <c r="CE501" s="77" t="s">
        <v>1428</v>
      </c>
      <c r="CF501" s="244" t="s">
        <v>1851</v>
      </c>
      <c r="CG501" s="42" t="s">
        <v>1429</v>
      </c>
    </row>
    <row r="502" spans="7:85" x14ac:dyDescent="0.3">
      <c r="G502" s="12" t="s">
        <v>17</v>
      </c>
      <c r="H502" s="12" t="s">
        <v>350</v>
      </c>
      <c r="I502" s="12" t="s">
        <v>909</v>
      </c>
      <c r="J502" s="129" t="str">
        <f t="shared" si="32"/>
        <v>Natural w/Accent</v>
      </c>
      <c r="K502" s="129"/>
      <c r="CC502" s="12" t="s">
        <v>55</v>
      </c>
      <c r="CD502" s="12" t="s">
        <v>95</v>
      </c>
      <c r="CE502" s="77" t="s">
        <v>1428</v>
      </c>
      <c r="CF502" s="244" t="s">
        <v>1852</v>
      </c>
      <c r="CG502" s="42" t="s">
        <v>1429</v>
      </c>
    </row>
    <row r="503" spans="7:85" x14ac:dyDescent="0.3">
      <c r="G503" s="12" t="s">
        <v>17</v>
      </c>
      <c r="H503" s="12" t="s">
        <v>350</v>
      </c>
      <c r="I503" s="12" t="s">
        <v>313</v>
      </c>
      <c r="J503" s="129" t="str">
        <f t="shared" si="32"/>
        <v>Sable Black</v>
      </c>
      <c r="K503" s="129"/>
      <c r="CC503" s="12" t="s">
        <v>55</v>
      </c>
      <c r="CD503" s="12" t="s">
        <v>100</v>
      </c>
      <c r="CE503" s="77" t="s">
        <v>1428</v>
      </c>
      <c r="CF503" s="244" t="s">
        <v>1853</v>
      </c>
      <c r="CG503" s="42" t="s">
        <v>1429</v>
      </c>
    </row>
    <row r="504" spans="7:85" x14ac:dyDescent="0.3">
      <c r="G504" s="12" t="s">
        <v>19</v>
      </c>
      <c r="H504" s="12" t="s">
        <v>350</v>
      </c>
      <c r="I504" s="12" t="s">
        <v>904</v>
      </c>
      <c r="J504" s="129" t="str">
        <f t="shared" si="32"/>
        <v>Satin Natural w/Inlay</v>
      </c>
      <c r="K504" s="129"/>
      <c r="CC504" s="12" t="s">
        <v>55</v>
      </c>
      <c r="CD504" s="12" t="s">
        <v>104</v>
      </c>
      <c r="CE504" s="77" t="s">
        <v>1428</v>
      </c>
      <c r="CF504" s="244" t="s">
        <v>1854</v>
      </c>
      <c r="CG504" s="42" t="s">
        <v>1429</v>
      </c>
    </row>
    <row r="505" spans="7:85" x14ac:dyDescent="0.3">
      <c r="G505" s="12" t="s">
        <v>19</v>
      </c>
      <c r="H505" s="12" t="s">
        <v>350</v>
      </c>
      <c r="I505" s="12" t="s">
        <v>902</v>
      </c>
      <c r="J505" s="129" t="str">
        <f t="shared" si="32"/>
        <v>Satin Sable w/Inlay</v>
      </c>
      <c r="K505" s="129"/>
      <c r="CC505" s="12" t="s">
        <v>55</v>
      </c>
      <c r="CD505" s="12" t="s">
        <v>45</v>
      </c>
      <c r="CE505" s="77" t="s">
        <v>1430</v>
      </c>
      <c r="CF505" s="244" t="s">
        <v>1855</v>
      </c>
      <c r="CG505" s="42" t="s">
        <v>1431</v>
      </c>
    </row>
    <row r="506" spans="7:85" x14ac:dyDescent="0.3">
      <c r="G506" s="12" t="s">
        <v>19</v>
      </c>
      <c r="H506" s="12" t="s">
        <v>350</v>
      </c>
      <c r="I506" s="12" t="s">
        <v>321</v>
      </c>
      <c r="J506" s="129" t="str">
        <f t="shared" si="32"/>
        <v>Satin Natural</v>
      </c>
      <c r="K506" s="129"/>
      <c r="CC506" s="12" t="s">
        <v>55</v>
      </c>
      <c r="CD506" s="12" t="s">
        <v>49</v>
      </c>
      <c r="CE506" s="77" t="s">
        <v>1430</v>
      </c>
      <c r="CF506" s="244" t="s">
        <v>1856</v>
      </c>
      <c r="CG506" s="42" t="s">
        <v>1431</v>
      </c>
    </row>
    <row r="507" spans="7:85" x14ac:dyDescent="0.3">
      <c r="G507" s="12" t="s">
        <v>19</v>
      </c>
      <c r="H507" s="12" t="s">
        <v>350</v>
      </c>
      <c r="I507" s="12" t="s">
        <v>912</v>
      </c>
      <c r="J507" s="129" t="str">
        <f t="shared" si="32"/>
        <v>Satin Natural w/Accent</v>
      </c>
      <c r="K507" s="129"/>
      <c r="CC507" s="12" t="s">
        <v>55</v>
      </c>
      <c r="CD507" s="12" t="s">
        <v>51</v>
      </c>
      <c r="CE507" s="77" t="s">
        <v>1430</v>
      </c>
      <c r="CF507" s="244" t="s">
        <v>1857</v>
      </c>
      <c r="CG507" s="42" t="s">
        <v>1431</v>
      </c>
    </row>
    <row r="508" spans="7:85" x14ac:dyDescent="0.3">
      <c r="G508" s="12" t="s">
        <v>19</v>
      </c>
      <c r="H508" s="12" t="s">
        <v>350</v>
      </c>
      <c r="I508" s="12" t="s">
        <v>26</v>
      </c>
      <c r="J508" s="129" t="str">
        <f t="shared" si="32"/>
        <v>Satin Sable</v>
      </c>
      <c r="K508" s="129"/>
      <c r="CC508" s="12" t="s">
        <v>55</v>
      </c>
      <c r="CD508" s="12" t="s">
        <v>54</v>
      </c>
      <c r="CE508" s="77" t="s">
        <v>1430</v>
      </c>
      <c r="CF508" s="244" t="s">
        <v>1858</v>
      </c>
      <c r="CG508" s="42" t="s">
        <v>1431</v>
      </c>
    </row>
    <row r="509" spans="7:85" x14ac:dyDescent="0.3">
      <c r="G509" s="12" t="s">
        <v>19</v>
      </c>
      <c r="H509" s="12" t="s">
        <v>350</v>
      </c>
      <c r="I509" s="12" t="s">
        <v>914</v>
      </c>
      <c r="J509" s="129" t="str">
        <f t="shared" si="32"/>
        <v>Satin Sable w/Accent</v>
      </c>
      <c r="K509" s="129"/>
      <c r="CC509" s="12" t="s">
        <v>55</v>
      </c>
      <c r="CD509" s="12" t="s">
        <v>58</v>
      </c>
      <c r="CE509" s="77" t="s">
        <v>1430</v>
      </c>
      <c r="CF509" s="244" t="s">
        <v>1859</v>
      </c>
      <c r="CG509" s="42" t="s">
        <v>1431</v>
      </c>
    </row>
    <row r="510" spans="7:85" x14ac:dyDescent="0.3">
      <c r="G510" s="12" t="s">
        <v>19</v>
      </c>
      <c r="H510" s="12" t="s">
        <v>350</v>
      </c>
      <c r="I510" s="12" t="s">
        <v>309</v>
      </c>
      <c r="J510" s="129" t="str">
        <f t="shared" si="32"/>
        <v>Natural Hoop</v>
      </c>
      <c r="K510" s="129"/>
      <c r="CC510" s="12" t="s">
        <v>55</v>
      </c>
      <c r="CD510" s="12" t="s">
        <v>62</v>
      </c>
      <c r="CE510" s="77" t="s">
        <v>1430</v>
      </c>
      <c r="CF510" s="244" t="s">
        <v>1860</v>
      </c>
      <c r="CG510" s="42" t="s">
        <v>1431</v>
      </c>
    </row>
    <row r="511" spans="7:85" x14ac:dyDescent="0.3">
      <c r="G511" s="12" t="s">
        <v>19</v>
      </c>
      <c r="H511" s="12" t="s">
        <v>350</v>
      </c>
      <c r="I511" s="12" t="s">
        <v>313</v>
      </c>
      <c r="J511" s="129" t="str">
        <f t="shared" si="32"/>
        <v>Sable Black</v>
      </c>
      <c r="K511" s="129"/>
      <c r="CC511" s="12" t="s">
        <v>55</v>
      </c>
      <c r="CD511" s="12" t="s">
        <v>64</v>
      </c>
      <c r="CE511" s="77" t="s">
        <v>1430</v>
      </c>
      <c r="CF511" s="244" t="s">
        <v>1861</v>
      </c>
      <c r="CG511" s="42" t="s">
        <v>1431</v>
      </c>
    </row>
    <row r="512" spans="7:85" x14ac:dyDescent="0.3">
      <c r="G512" s="12" t="s">
        <v>15</v>
      </c>
      <c r="H512" s="12" t="s">
        <v>352</v>
      </c>
      <c r="I512" s="12" t="s">
        <v>902</v>
      </c>
      <c r="J512" s="129" t="str">
        <f t="shared" si="32"/>
        <v>Satin Sable w/Inlay</v>
      </c>
      <c r="K512" s="129"/>
      <c r="CC512" s="12" t="s">
        <v>55</v>
      </c>
      <c r="CD512" s="12" t="s">
        <v>68</v>
      </c>
      <c r="CE512" s="77" t="s">
        <v>1430</v>
      </c>
      <c r="CF512" s="244" t="s">
        <v>1862</v>
      </c>
      <c r="CG512" s="42" t="s">
        <v>1431</v>
      </c>
    </row>
    <row r="513" spans="7:85" x14ac:dyDescent="0.3">
      <c r="G513" s="12" t="s">
        <v>15</v>
      </c>
      <c r="H513" s="12" t="s">
        <v>352</v>
      </c>
      <c r="I513" s="12" t="s">
        <v>904</v>
      </c>
      <c r="J513" s="129" t="str">
        <f t="shared" si="32"/>
        <v>Satin Natural w/Inlay</v>
      </c>
      <c r="K513" s="129"/>
      <c r="CC513" s="12" t="s">
        <v>55</v>
      </c>
      <c r="CD513" s="12" t="s">
        <v>67</v>
      </c>
      <c r="CE513" s="77" t="s">
        <v>1430</v>
      </c>
      <c r="CF513" s="244" t="s">
        <v>1863</v>
      </c>
      <c r="CG513" s="42" t="s">
        <v>1431</v>
      </c>
    </row>
    <row r="514" spans="7:85" x14ac:dyDescent="0.3">
      <c r="G514" s="12" t="s">
        <v>15</v>
      </c>
      <c r="H514" s="12" t="s">
        <v>352</v>
      </c>
      <c r="I514" s="12" t="s">
        <v>26</v>
      </c>
      <c r="J514" s="129" t="str">
        <f t="shared" si="32"/>
        <v>Satin Sable</v>
      </c>
      <c r="K514" s="129"/>
      <c r="CC514" s="12" t="s">
        <v>55</v>
      </c>
      <c r="CD514" s="12" t="s">
        <v>71</v>
      </c>
      <c r="CE514" s="77" t="s">
        <v>1430</v>
      </c>
      <c r="CF514" s="244" t="s">
        <v>1864</v>
      </c>
      <c r="CG514" s="42" t="s">
        <v>1431</v>
      </c>
    </row>
    <row r="515" spans="7:85" x14ac:dyDescent="0.3">
      <c r="G515" s="12" t="s">
        <v>15</v>
      </c>
      <c r="H515" s="12" t="s">
        <v>352</v>
      </c>
      <c r="I515" s="12" t="s">
        <v>914</v>
      </c>
      <c r="J515" s="129" t="str">
        <f t="shared" si="32"/>
        <v>Satin Sable w/Accent</v>
      </c>
      <c r="K515" s="129"/>
      <c r="CC515" s="12" t="s">
        <v>55</v>
      </c>
      <c r="CD515" s="12" t="s">
        <v>74</v>
      </c>
      <c r="CE515" s="77" t="s">
        <v>1430</v>
      </c>
      <c r="CF515" s="244" t="s">
        <v>1865</v>
      </c>
      <c r="CG515" s="42" t="s">
        <v>1431</v>
      </c>
    </row>
    <row r="516" spans="7:85" x14ac:dyDescent="0.3">
      <c r="G516" s="12" t="s">
        <v>15</v>
      </c>
      <c r="H516" s="12" t="s">
        <v>352</v>
      </c>
      <c r="I516" s="12" t="s">
        <v>321</v>
      </c>
      <c r="J516" s="129" t="str">
        <f t="shared" si="32"/>
        <v>Satin Natural</v>
      </c>
      <c r="K516" s="129"/>
      <c r="CC516" s="12" t="s">
        <v>55</v>
      </c>
      <c r="CD516" s="12" t="s">
        <v>77</v>
      </c>
      <c r="CE516" s="77" t="s">
        <v>1430</v>
      </c>
      <c r="CF516" s="244" t="s">
        <v>1866</v>
      </c>
      <c r="CG516" s="42" t="s">
        <v>1431</v>
      </c>
    </row>
    <row r="517" spans="7:85" x14ac:dyDescent="0.3">
      <c r="G517" s="12" t="s">
        <v>15</v>
      </c>
      <c r="H517" s="12" t="s">
        <v>352</v>
      </c>
      <c r="I517" s="12" t="s">
        <v>912</v>
      </c>
      <c r="J517" s="129" t="str">
        <f t="shared" si="32"/>
        <v>Satin Natural w/Accent</v>
      </c>
      <c r="K517" s="129"/>
      <c r="CC517" s="12" t="s">
        <v>55</v>
      </c>
      <c r="CD517" s="12" t="s">
        <v>81</v>
      </c>
      <c r="CE517" s="77" t="s">
        <v>1430</v>
      </c>
      <c r="CF517" s="244" t="s">
        <v>1867</v>
      </c>
      <c r="CG517" s="42" t="s">
        <v>1431</v>
      </c>
    </row>
    <row r="518" spans="7:85" x14ac:dyDescent="0.3">
      <c r="G518" s="12" t="s">
        <v>15</v>
      </c>
      <c r="H518" s="12" t="s">
        <v>352</v>
      </c>
      <c r="I518" s="12" t="s">
        <v>309</v>
      </c>
      <c r="J518" s="129" t="str">
        <f t="shared" si="32"/>
        <v>Natural Hoop</v>
      </c>
      <c r="K518" s="129"/>
      <c r="CC518" s="12" t="s">
        <v>55</v>
      </c>
      <c r="CD518" s="12" t="s">
        <v>83</v>
      </c>
      <c r="CE518" s="77" t="s">
        <v>1430</v>
      </c>
      <c r="CF518" s="244" t="s">
        <v>1868</v>
      </c>
      <c r="CG518" s="42" t="s">
        <v>1431</v>
      </c>
    </row>
    <row r="519" spans="7:85" x14ac:dyDescent="0.3">
      <c r="G519" s="12" t="s">
        <v>15</v>
      </c>
      <c r="H519" s="12" t="s">
        <v>352</v>
      </c>
      <c r="I519" s="12" t="s">
        <v>907</v>
      </c>
      <c r="J519" s="129" t="str">
        <f t="shared" si="32"/>
        <v>Natural w/Inlay</v>
      </c>
      <c r="K519" s="129"/>
      <c r="CC519" s="12" t="s">
        <v>55</v>
      </c>
      <c r="CD519" s="12" t="s">
        <v>85</v>
      </c>
      <c r="CE519" s="77" t="s">
        <v>1430</v>
      </c>
      <c r="CF519" s="244" t="s">
        <v>1869</v>
      </c>
      <c r="CG519" s="42" t="s">
        <v>1431</v>
      </c>
    </row>
    <row r="520" spans="7:85" x14ac:dyDescent="0.3">
      <c r="G520" s="12" t="s">
        <v>15</v>
      </c>
      <c r="H520" s="12" t="s">
        <v>352</v>
      </c>
      <c r="I520" s="12" t="s">
        <v>909</v>
      </c>
      <c r="J520" s="129" t="str">
        <f t="shared" si="32"/>
        <v>Natural w/Accent</v>
      </c>
      <c r="K520" s="129"/>
      <c r="CC520" s="12" t="s">
        <v>55</v>
      </c>
      <c r="CD520" s="12" t="s">
        <v>88</v>
      </c>
      <c r="CE520" s="77" t="s">
        <v>1430</v>
      </c>
      <c r="CF520" s="244" t="s">
        <v>1870</v>
      </c>
      <c r="CG520" s="42" t="s">
        <v>1431</v>
      </c>
    </row>
    <row r="521" spans="7:85" x14ac:dyDescent="0.3">
      <c r="G521" s="12" t="s">
        <v>15</v>
      </c>
      <c r="H521" s="12" t="s">
        <v>352</v>
      </c>
      <c r="I521" s="12" t="s">
        <v>313</v>
      </c>
      <c r="J521" s="129" t="str">
        <f t="shared" si="32"/>
        <v>Sable Black</v>
      </c>
      <c r="K521" s="129"/>
      <c r="CC521" s="12" t="s">
        <v>55</v>
      </c>
      <c r="CD521" s="12" t="s">
        <v>90</v>
      </c>
      <c r="CE521" s="77" t="s">
        <v>1430</v>
      </c>
      <c r="CF521" s="244" t="s">
        <v>1871</v>
      </c>
      <c r="CG521" s="42" t="s">
        <v>1431</v>
      </c>
    </row>
    <row r="522" spans="7:85" x14ac:dyDescent="0.3">
      <c r="G522" s="12" t="s">
        <v>16</v>
      </c>
      <c r="H522" s="12" t="s">
        <v>352</v>
      </c>
      <c r="I522" s="12" t="s">
        <v>902</v>
      </c>
      <c r="J522" s="129" t="str">
        <f t="shared" si="32"/>
        <v>Satin Sable w/Inlay</v>
      </c>
      <c r="K522" s="129"/>
      <c r="CC522" s="12" t="s">
        <v>55</v>
      </c>
      <c r="CD522" s="12" t="s">
        <v>93</v>
      </c>
      <c r="CE522" s="77" t="s">
        <v>1430</v>
      </c>
      <c r="CF522" s="244" t="s">
        <v>1872</v>
      </c>
      <c r="CG522" s="42" t="s">
        <v>1431</v>
      </c>
    </row>
    <row r="523" spans="7:85" x14ac:dyDescent="0.3">
      <c r="G523" s="12" t="s">
        <v>16</v>
      </c>
      <c r="H523" s="12" t="s">
        <v>352</v>
      </c>
      <c r="I523" s="12" t="s">
        <v>904</v>
      </c>
      <c r="J523" s="129" t="str">
        <f t="shared" si="32"/>
        <v>Satin Natural w/Inlay</v>
      </c>
      <c r="K523" s="129"/>
      <c r="CC523" s="12" t="s">
        <v>55</v>
      </c>
      <c r="CD523" s="12" t="s">
        <v>95</v>
      </c>
      <c r="CE523" s="77" t="s">
        <v>1430</v>
      </c>
      <c r="CF523" s="244" t="s">
        <v>1873</v>
      </c>
      <c r="CG523" s="42" t="s">
        <v>1431</v>
      </c>
    </row>
    <row r="524" spans="7:85" x14ac:dyDescent="0.3">
      <c r="G524" s="12" t="s">
        <v>16</v>
      </c>
      <c r="H524" s="12" t="s">
        <v>352</v>
      </c>
      <c r="I524" s="12" t="s">
        <v>26</v>
      </c>
      <c r="J524" s="129" t="str">
        <f t="shared" si="32"/>
        <v>Satin Sable</v>
      </c>
      <c r="K524" s="129"/>
      <c r="CC524" s="12" t="s">
        <v>55</v>
      </c>
      <c r="CD524" s="12" t="s">
        <v>100</v>
      </c>
      <c r="CE524" s="77" t="s">
        <v>1430</v>
      </c>
      <c r="CF524" s="244" t="s">
        <v>1874</v>
      </c>
      <c r="CG524" s="42" t="s">
        <v>1431</v>
      </c>
    </row>
    <row r="525" spans="7:85" x14ac:dyDescent="0.3">
      <c r="G525" s="12" t="s">
        <v>16</v>
      </c>
      <c r="H525" s="12" t="s">
        <v>352</v>
      </c>
      <c r="I525" s="12" t="s">
        <v>914</v>
      </c>
      <c r="J525" s="129" t="str">
        <f t="shared" si="32"/>
        <v>Satin Sable w/Accent</v>
      </c>
      <c r="K525" s="129"/>
      <c r="CC525" s="12" t="s">
        <v>55</v>
      </c>
      <c r="CD525" s="12" t="s">
        <v>104</v>
      </c>
      <c r="CE525" s="77" t="s">
        <v>1430</v>
      </c>
      <c r="CF525" s="244" t="s">
        <v>1875</v>
      </c>
      <c r="CG525" s="42" t="s">
        <v>1431</v>
      </c>
    </row>
    <row r="526" spans="7:85" x14ac:dyDescent="0.3">
      <c r="G526" s="12" t="s">
        <v>16</v>
      </c>
      <c r="H526" s="12" t="s">
        <v>352</v>
      </c>
      <c r="I526" s="12" t="s">
        <v>321</v>
      </c>
      <c r="J526" s="129" t="str">
        <f t="shared" si="32"/>
        <v>Satin Natural</v>
      </c>
      <c r="K526" s="129"/>
    </row>
    <row r="527" spans="7:85" x14ac:dyDescent="0.3">
      <c r="G527" s="12" t="s">
        <v>16</v>
      </c>
      <c r="H527" s="12" t="s">
        <v>352</v>
      </c>
      <c r="I527" s="12" t="s">
        <v>912</v>
      </c>
      <c r="J527" s="129" t="str">
        <f t="shared" si="32"/>
        <v>Satin Natural w/Accent</v>
      </c>
      <c r="K527" s="129"/>
    </row>
    <row r="528" spans="7:85" x14ac:dyDescent="0.3">
      <c r="G528" s="12" t="s">
        <v>16</v>
      </c>
      <c r="H528" s="12" t="s">
        <v>352</v>
      </c>
      <c r="I528" s="12" t="s">
        <v>309</v>
      </c>
      <c r="J528" s="129" t="str">
        <f t="shared" si="32"/>
        <v>Natural Hoop</v>
      </c>
      <c r="K528" s="129"/>
    </row>
    <row r="529" spans="7:11" x14ac:dyDescent="0.3">
      <c r="G529" s="12" t="s">
        <v>16</v>
      </c>
      <c r="H529" s="12" t="s">
        <v>352</v>
      </c>
      <c r="I529" s="12" t="s">
        <v>907</v>
      </c>
      <c r="J529" s="129" t="str">
        <f t="shared" si="32"/>
        <v>Natural w/Inlay</v>
      </c>
      <c r="K529" s="129"/>
    </row>
    <row r="530" spans="7:11" x14ac:dyDescent="0.3">
      <c r="G530" s="12" t="s">
        <v>16</v>
      </c>
      <c r="H530" s="12" t="s">
        <v>352</v>
      </c>
      <c r="I530" s="12" t="s">
        <v>909</v>
      </c>
      <c r="J530" s="129" t="str">
        <f t="shared" si="32"/>
        <v>Natural w/Accent</v>
      </c>
      <c r="K530" s="129"/>
    </row>
    <row r="531" spans="7:11" x14ac:dyDescent="0.3">
      <c r="G531" s="12" t="s">
        <v>16</v>
      </c>
      <c r="H531" s="12" t="s">
        <v>352</v>
      </c>
      <c r="I531" s="12" t="s">
        <v>313</v>
      </c>
      <c r="J531" s="129" t="str">
        <f t="shared" si="32"/>
        <v>Sable Black</v>
      </c>
      <c r="K531" s="129"/>
    </row>
    <row r="532" spans="7:11" x14ac:dyDescent="0.3">
      <c r="G532" s="12" t="s">
        <v>17</v>
      </c>
      <c r="H532" s="12" t="s">
        <v>352</v>
      </c>
      <c r="I532" s="12" t="s">
        <v>902</v>
      </c>
      <c r="J532" s="129" t="str">
        <f t="shared" ref="J532:J595" si="33">INDEX($C$3:$C$15,MATCH(I532,$B$3:$B$15,0))</f>
        <v>Satin Sable w/Inlay</v>
      </c>
      <c r="K532" s="129"/>
    </row>
    <row r="533" spans="7:11" x14ac:dyDescent="0.3">
      <c r="G533" s="12" t="s">
        <v>17</v>
      </c>
      <c r="H533" s="12" t="s">
        <v>352</v>
      </c>
      <c r="I533" s="12" t="s">
        <v>904</v>
      </c>
      <c r="J533" s="129" t="str">
        <f t="shared" si="33"/>
        <v>Satin Natural w/Inlay</v>
      </c>
      <c r="K533" s="129"/>
    </row>
    <row r="534" spans="7:11" x14ac:dyDescent="0.3">
      <c r="G534" s="12" t="s">
        <v>17</v>
      </c>
      <c r="H534" s="12" t="s">
        <v>352</v>
      </c>
      <c r="I534" s="12" t="s">
        <v>26</v>
      </c>
      <c r="J534" s="129" t="str">
        <f t="shared" si="33"/>
        <v>Satin Sable</v>
      </c>
      <c r="K534" s="129"/>
    </row>
    <row r="535" spans="7:11" x14ac:dyDescent="0.3">
      <c r="G535" s="12" t="s">
        <v>17</v>
      </c>
      <c r="H535" s="12" t="s">
        <v>352</v>
      </c>
      <c r="I535" s="12" t="s">
        <v>914</v>
      </c>
      <c r="J535" s="129" t="str">
        <f t="shared" si="33"/>
        <v>Satin Sable w/Accent</v>
      </c>
      <c r="K535" s="129"/>
    </row>
    <row r="536" spans="7:11" x14ac:dyDescent="0.3">
      <c r="G536" s="12" t="s">
        <v>17</v>
      </c>
      <c r="H536" s="12" t="s">
        <v>352</v>
      </c>
      <c r="I536" s="12" t="s">
        <v>321</v>
      </c>
      <c r="J536" s="129" t="str">
        <f t="shared" si="33"/>
        <v>Satin Natural</v>
      </c>
      <c r="K536" s="129"/>
    </row>
    <row r="537" spans="7:11" x14ac:dyDescent="0.3">
      <c r="G537" s="12" t="s">
        <v>17</v>
      </c>
      <c r="H537" s="12" t="s">
        <v>352</v>
      </c>
      <c r="I537" s="12" t="s">
        <v>912</v>
      </c>
      <c r="J537" s="129" t="str">
        <f t="shared" si="33"/>
        <v>Satin Natural w/Accent</v>
      </c>
      <c r="K537" s="129"/>
    </row>
    <row r="538" spans="7:11" x14ac:dyDescent="0.3">
      <c r="G538" s="12" t="s">
        <v>17</v>
      </c>
      <c r="H538" s="12" t="s">
        <v>352</v>
      </c>
      <c r="I538" s="12" t="s">
        <v>309</v>
      </c>
      <c r="J538" s="129" t="str">
        <f t="shared" si="33"/>
        <v>Natural Hoop</v>
      </c>
      <c r="K538" s="129"/>
    </row>
    <row r="539" spans="7:11" x14ac:dyDescent="0.3">
      <c r="G539" s="12" t="s">
        <v>17</v>
      </c>
      <c r="H539" s="12" t="s">
        <v>352</v>
      </c>
      <c r="I539" s="12" t="s">
        <v>907</v>
      </c>
      <c r="J539" s="129" t="str">
        <f t="shared" si="33"/>
        <v>Natural w/Inlay</v>
      </c>
      <c r="K539" s="129"/>
    </row>
    <row r="540" spans="7:11" x14ac:dyDescent="0.3">
      <c r="G540" s="12" t="s">
        <v>17</v>
      </c>
      <c r="H540" s="12" t="s">
        <v>352</v>
      </c>
      <c r="I540" s="12" t="s">
        <v>909</v>
      </c>
      <c r="J540" s="129" t="str">
        <f t="shared" si="33"/>
        <v>Natural w/Accent</v>
      </c>
      <c r="K540" s="129"/>
    </row>
    <row r="541" spans="7:11" x14ac:dyDescent="0.3">
      <c r="G541" s="12" t="s">
        <v>17</v>
      </c>
      <c r="H541" s="12" t="s">
        <v>352</v>
      </c>
      <c r="I541" s="12" t="s">
        <v>313</v>
      </c>
      <c r="J541" s="129" t="str">
        <f t="shared" si="33"/>
        <v>Sable Black</v>
      </c>
      <c r="K541" s="129"/>
    </row>
    <row r="542" spans="7:11" x14ac:dyDescent="0.3">
      <c r="G542" s="12" t="s">
        <v>19</v>
      </c>
      <c r="H542" s="12" t="s">
        <v>352</v>
      </c>
      <c r="I542" s="12" t="s">
        <v>902</v>
      </c>
      <c r="J542" s="129" t="str">
        <f t="shared" si="33"/>
        <v>Satin Sable w/Inlay</v>
      </c>
      <c r="K542" s="129"/>
    </row>
    <row r="543" spans="7:11" x14ac:dyDescent="0.3">
      <c r="G543" s="12" t="s">
        <v>19</v>
      </c>
      <c r="H543" s="12" t="s">
        <v>352</v>
      </c>
      <c r="I543" s="12" t="s">
        <v>904</v>
      </c>
      <c r="J543" s="129" t="str">
        <f t="shared" si="33"/>
        <v>Satin Natural w/Inlay</v>
      </c>
      <c r="K543" s="129"/>
    </row>
    <row r="544" spans="7:11" x14ac:dyDescent="0.3">
      <c r="G544" s="12" t="s">
        <v>19</v>
      </c>
      <c r="H544" s="12" t="s">
        <v>352</v>
      </c>
      <c r="I544" s="12" t="s">
        <v>26</v>
      </c>
      <c r="J544" s="129" t="str">
        <f t="shared" si="33"/>
        <v>Satin Sable</v>
      </c>
      <c r="K544" s="129"/>
    </row>
    <row r="545" spans="7:11" x14ac:dyDescent="0.3">
      <c r="G545" s="12" t="s">
        <v>19</v>
      </c>
      <c r="H545" s="12" t="s">
        <v>352</v>
      </c>
      <c r="I545" s="12" t="s">
        <v>914</v>
      </c>
      <c r="J545" s="129" t="str">
        <f t="shared" si="33"/>
        <v>Satin Sable w/Accent</v>
      </c>
      <c r="K545" s="129"/>
    </row>
    <row r="546" spans="7:11" x14ac:dyDescent="0.3">
      <c r="G546" s="12" t="s">
        <v>19</v>
      </c>
      <c r="H546" s="12" t="s">
        <v>352</v>
      </c>
      <c r="I546" s="12" t="s">
        <v>321</v>
      </c>
      <c r="J546" s="129" t="str">
        <f t="shared" si="33"/>
        <v>Satin Natural</v>
      </c>
      <c r="K546" s="129"/>
    </row>
    <row r="547" spans="7:11" x14ac:dyDescent="0.3">
      <c r="G547" s="12" t="s">
        <v>19</v>
      </c>
      <c r="H547" s="12" t="s">
        <v>352</v>
      </c>
      <c r="I547" s="12" t="s">
        <v>912</v>
      </c>
      <c r="J547" s="129" t="str">
        <f t="shared" si="33"/>
        <v>Satin Natural w/Accent</v>
      </c>
      <c r="K547" s="129"/>
    </row>
    <row r="548" spans="7:11" x14ac:dyDescent="0.3">
      <c r="G548" s="12" t="s">
        <v>19</v>
      </c>
      <c r="H548" s="12" t="s">
        <v>352</v>
      </c>
      <c r="I548" s="12" t="s">
        <v>309</v>
      </c>
      <c r="J548" s="129" t="str">
        <f t="shared" si="33"/>
        <v>Natural Hoop</v>
      </c>
      <c r="K548" s="129"/>
    </row>
    <row r="549" spans="7:11" x14ac:dyDescent="0.3">
      <c r="G549" s="12" t="s">
        <v>19</v>
      </c>
      <c r="H549" s="12" t="s">
        <v>352</v>
      </c>
      <c r="I549" s="12" t="s">
        <v>313</v>
      </c>
      <c r="J549" s="129" t="str">
        <f t="shared" si="33"/>
        <v>Sable Black</v>
      </c>
      <c r="K549" s="129"/>
    </row>
    <row r="550" spans="7:11" x14ac:dyDescent="0.3">
      <c r="G550" s="12" t="s">
        <v>15</v>
      </c>
      <c r="H550" s="12" t="s">
        <v>299</v>
      </c>
      <c r="I550" s="12" t="s">
        <v>60</v>
      </c>
      <c r="J550" s="129" t="str">
        <f t="shared" si="33"/>
        <v>Matching Hoop</v>
      </c>
      <c r="K550" s="129"/>
    </row>
    <row r="551" spans="7:11" x14ac:dyDescent="0.3">
      <c r="G551" s="12" t="s">
        <v>15</v>
      </c>
      <c r="H551" s="12" t="s">
        <v>299</v>
      </c>
      <c r="I551" s="105" t="s">
        <v>1259</v>
      </c>
      <c r="J551" s="129" t="str">
        <f t="shared" si="33"/>
        <v>Matching Hoop w/Accent</v>
      </c>
      <c r="K551" s="129"/>
    </row>
    <row r="552" spans="7:11" x14ac:dyDescent="0.3">
      <c r="G552" s="12" t="s">
        <v>15</v>
      </c>
      <c r="H552" s="12" t="s">
        <v>299</v>
      </c>
      <c r="I552" s="12" t="s">
        <v>309</v>
      </c>
      <c r="J552" s="129" t="str">
        <f t="shared" si="33"/>
        <v>Natural Hoop</v>
      </c>
      <c r="K552" s="129"/>
    </row>
    <row r="553" spans="7:11" x14ac:dyDescent="0.3">
      <c r="G553" s="16" t="s">
        <v>16</v>
      </c>
      <c r="H553" s="12" t="s">
        <v>299</v>
      </c>
      <c r="I553" s="12" t="s">
        <v>60</v>
      </c>
      <c r="J553" s="129" t="str">
        <f t="shared" si="33"/>
        <v>Matching Hoop</v>
      </c>
      <c r="K553" s="129"/>
    </row>
    <row r="554" spans="7:11" x14ac:dyDescent="0.3">
      <c r="G554" s="16" t="s">
        <v>16</v>
      </c>
      <c r="H554" s="12" t="s">
        <v>299</v>
      </c>
      <c r="I554" s="105" t="s">
        <v>1259</v>
      </c>
      <c r="J554" s="129" t="str">
        <f t="shared" si="33"/>
        <v>Matching Hoop w/Accent</v>
      </c>
      <c r="K554" s="129"/>
    </row>
    <row r="555" spans="7:11" x14ac:dyDescent="0.3">
      <c r="G555" s="16" t="s">
        <v>16</v>
      </c>
      <c r="H555" s="12" t="s">
        <v>299</v>
      </c>
      <c r="I555" s="12" t="s">
        <v>309</v>
      </c>
      <c r="J555" s="129" t="str">
        <f t="shared" si="33"/>
        <v>Natural Hoop</v>
      </c>
      <c r="K555" s="129"/>
    </row>
    <row r="556" spans="7:11" x14ac:dyDescent="0.3">
      <c r="G556" s="12" t="s">
        <v>19</v>
      </c>
      <c r="H556" s="12" t="s">
        <v>301</v>
      </c>
      <c r="I556" s="12" t="s">
        <v>60</v>
      </c>
      <c r="J556" s="129" t="str">
        <f t="shared" si="33"/>
        <v>Matching Hoop</v>
      </c>
      <c r="K556" s="129"/>
    </row>
    <row r="557" spans="7:11" x14ac:dyDescent="0.3">
      <c r="G557" s="12" t="s">
        <v>15</v>
      </c>
      <c r="H557" s="12" t="s">
        <v>354</v>
      </c>
      <c r="I557" s="12" t="s">
        <v>902</v>
      </c>
      <c r="J557" s="129" t="str">
        <f t="shared" si="33"/>
        <v>Satin Sable w/Inlay</v>
      </c>
      <c r="K557" s="129"/>
    </row>
    <row r="558" spans="7:11" x14ac:dyDescent="0.3">
      <c r="G558" s="12" t="s">
        <v>15</v>
      </c>
      <c r="H558" s="12" t="s">
        <v>354</v>
      </c>
      <c r="I558" s="12" t="s">
        <v>904</v>
      </c>
      <c r="J558" s="129" t="str">
        <f t="shared" si="33"/>
        <v>Satin Natural w/Inlay</v>
      </c>
      <c r="K558" s="129"/>
    </row>
    <row r="559" spans="7:11" x14ac:dyDescent="0.3">
      <c r="G559" s="12" t="s">
        <v>15</v>
      </c>
      <c r="H559" s="12" t="s">
        <v>354</v>
      </c>
      <c r="I559" s="12" t="s">
        <v>26</v>
      </c>
      <c r="J559" s="129" t="str">
        <f t="shared" si="33"/>
        <v>Satin Sable</v>
      </c>
      <c r="K559" s="129"/>
    </row>
    <row r="560" spans="7:11" x14ac:dyDescent="0.3">
      <c r="G560" s="12" t="s">
        <v>15</v>
      </c>
      <c r="H560" s="12" t="s">
        <v>354</v>
      </c>
      <c r="I560" s="12" t="s">
        <v>914</v>
      </c>
      <c r="J560" s="129" t="str">
        <f t="shared" si="33"/>
        <v>Satin Sable w/Accent</v>
      </c>
      <c r="K560" s="129"/>
    </row>
    <row r="561" spans="7:11" x14ac:dyDescent="0.3">
      <c r="G561" s="12" t="s">
        <v>15</v>
      </c>
      <c r="H561" s="12" t="s">
        <v>354</v>
      </c>
      <c r="I561" s="12" t="s">
        <v>321</v>
      </c>
      <c r="J561" s="129" t="str">
        <f t="shared" si="33"/>
        <v>Satin Natural</v>
      </c>
      <c r="K561" s="129"/>
    </row>
    <row r="562" spans="7:11" x14ac:dyDescent="0.3">
      <c r="G562" s="12" t="s">
        <v>15</v>
      </c>
      <c r="H562" s="12" t="s">
        <v>354</v>
      </c>
      <c r="I562" s="12" t="s">
        <v>912</v>
      </c>
      <c r="J562" s="129" t="str">
        <f t="shared" si="33"/>
        <v>Satin Natural w/Accent</v>
      </c>
      <c r="K562" s="129"/>
    </row>
    <row r="563" spans="7:11" x14ac:dyDescent="0.3">
      <c r="G563" s="12" t="s">
        <v>15</v>
      </c>
      <c r="H563" s="12" t="s">
        <v>354</v>
      </c>
      <c r="I563" s="12" t="s">
        <v>309</v>
      </c>
      <c r="J563" s="129" t="str">
        <f t="shared" si="33"/>
        <v>Natural Hoop</v>
      </c>
      <c r="K563" s="129"/>
    </row>
    <row r="564" spans="7:11" x14ac:dyDescent="0.3">
      <c r="G564" s="12" t="s">
        <v>15</v>
      </c>
      <c r="H564" s="12" t="s">
        <v>354</v>
      </c>
      <c r="I564" s="12" t="s">
        <v>907</v>
      </c>
      <c r="J564" s="129" t="str">
        <f t="shared" si="33"/>
        <v>Natural w/Inlay</v>
      </c>
      <c r="K564" s="129"/>
    </row>
    <row r="565" spans="7:11" x14ac:dyDescent="0.3">
      <c r="G565" s="12" t="s">
        <v>15</v>
      </c>
      <c r="H565" s="12" t="s">
        <v>354</v>
      </c>
      <c r="I565" s="12" t="s">
        <v>909</v>
      </c>
      <c r="J565" s="129" t="str">
        <f t="shared" si="33"/>
        <v>Natural w/Accent</v>
      </c>
      <c r="K565" s="129"/>
    </row>
    <row r="566" spans="7:11" x14ac:dyDescent="0.3">
      <c r="G566" s="12" t="s">
        <v>15</v>
      </c>
      <c r="H566" s="12" t="s">
        <v>354</v>
      </c>
      <c r="I566" s="12" t="s">
        <v>313</v>
      </c>
      <c r="J566" s="129" t="str">
        <f t="shared" si="33"/>
        <v>Sable Black</v>
      </c>
      <c r="K566" s="129"/>
    </row>
    <row r="567" spans="7:11" x14ac:dyDescent="0.3">
      <c r="G567" s="12" t="s">
        <v>16</v>
      </c>
      <c r="H567" s="12" t="s">
        <v>354</v>
      </c>
      <c r="I567" s="12" t="s">
        <v>902</v>
      </c>
      <c r="J567" s="129" t="str">
        <f t="shared" si="33"/>
        <v>Satin Sable w/Inlay</v>
      </c>
      <c r="K567" s="129"/>
    </row>
    <row r="568" spans="7:11" x14ac:dyDescent="0.3">
      <c r="G568" s="12" t="s">
        <v>16</v>
      </c>
      <c r="H568" s="12" t="s">
        <v>354</v>
      </c>
      <c r="I568" s="12" t="s">
        <v>904</v>
      </c>
      <c r="J568" s="129" t="str">
        <f t="shared" si="33"/>
        <v>Satin Natural w/Inlay</v>
      </c>
      <c r="K568" s="129"/>
    </row>
    <row r="569" spans="7:11" x14ac:dyDescent="0.3">
      <c r="G569" s="12" t="s">
        <v>16</v>
      </c>
      <c r="H569" s="12" t="s">
        <v>354</v>
      </c>
      <c r="I569" s="12" t="s">
        <v>26</v>
      </c>
      <c r="J569" s="129" t="str">
        <f t="shared" si="33"/>
        <v>Satin Sable</v>
      </c>
      <c r="K569" s="129"/>
    </row>
    <row r="570" spans="7:11" x14ac:dyDescent="0.3">
      <c r="G570" s="12" t="s">
        <v>16</v>
      </c>
      <c r="H570" s="12" t="s">
        <v>354</v>
      </c>
      <c r="I570" s="12" t="s">
        <v>914</v>
      </c>
      <c r="J570" s="129" t="str">
        <f t="shared" si="33"/>
        <v>Satin Sable w/Accent</v>
      </c>
      <c r="K570" s="129"/>
    </row>
    <row r="571" spans="7:11" x14ac:dyDescent="0.3">
      <c r="G571" s="12" t="s">
        <v>16</v>
      </c>
      <c r="H571" s="12" t="s">
        <v>354</v>
      </c>
      <c r="I571" s="12" t="s">
        <v>321</v>
      </c>
      <c r="J571" s="129" t="str">
        <f t="shared" si="33"/>
        <v>Satin Natural</v>
      </c>
      <c r="K571" s="129"/>
    </row>
    <row r="572" spans="7:11" x14ac:dyDescent="0.3">
      <c r="G572" s="12" t="s">
        <v>16</v>
      </c>
      <c r="H572" s="12" t="s">
        <v>354</v>
      </c>
      <c r="I572" s="12" t="s">
        <v>912</v>
      </c>
      <c r="J572" s="129" t="str">
        <f t="shared" si="33"/>
        <v>Satin Natural w/Accent</v>
      </c>
      <c r="K572" s="129"/>
    </row>
    <row r="573" spans="7:11" x14ac:dyDescent="0.3">
      <c r="G573" s="12" t="s">
        <v>16</v>
      </c>
      <c r="H573" s="12" t="s">
        <v>354</v>
      </c>
      <c r="I573" s="12" t="s">
        <v>309</v>
      </c>
      <c r="J573" s="129" t="str">
        <f t="shared" si="33"/>
        <v>Natural Hoop</v>
      </c>
      <c r="K573" s="129"/>
    </row>
    <row r="574" spans="7:11" x14ac:dyDescent="0.3">
      <c r="G574" s="12" t="s">
        <v>16</v>
      </c>
      <c r="H574" s="12" t="s">
        <v>354</v>
      </c>
      <c r="I574" s="12" t="s">
        <v>907</v>
      </c>
      <c r="J574" s="129" t="str">
        <f t="shared" si="33"/>
        <v>Natural w/Inlay</v>
      </c>
      <c r="K574" s="129"/>
    </row>
    <row r="575" spans="7:11" x14ac:dyDescent="0.3">
      <c r="G575" s="12" t="s">
        <v>16</v>
      </c>
      <c r="H575" s="12" t="s">
        <v>354</v>
      </c>
      <c r="I575" s="12" t="s">
        <v>909</v>
      </c>
      <c r="J575" s="129" t="str">
        <f t="shared" si="33"/>
        <v>Natural w/Accent</v>
      </c>
      <c r="K575" s="129"/>
    </row>
    <row r="576" spans="7:11" x14ac:dyDescent="0.3">
      <c r="G576" s="12" t="s">
        <v>16</v>
      </c>
      <c r="H576" s="12" t="s">
        <v>354</v>
      </c>
      <c r="I576" s="12" t="s">
        <v>313</v>
      </c>
      <c r="J576" s="129" t="str">
        <f t="shared" si="33"/>
        <v>Sable Black</v>
      </c>
      <c r="K576" s="129"/>
    </row>
    <row r="577" spans="7:11" x14ac:dyDescent="0.3">
      <c r="G577" s="12" t="s">
        <v>17</v>
      </c>
      <c r="H577" s="12" t="s">
        <v>354</v>
      </c>
      <c r="I577" s="12" t="s">
        <v>902</v>
      </c>
      <c r="J577" s="129" t="str">
        <f t="shared" si="33"/>
        <v>Satin Sable w/Inlay</v>
      </c>
      <c r="K577" s="129"/>
    </row>
    <row r="578" spans="7:11" x14ac:dyDescent="0.3">
      <c r="G578" s="12" t="s">
        <v>17</v>
      </c>
      <c r="H578" s="12" t="s">
        <v>354</v>
      </c>
      <c r="I578" s="12" t="s">
        <v>904</v>
      </c>
      <c r="J578" s="129" t="str">
        <f t="shared" si="33"/>
        <v>Satin Natural w/Inlay</v>
      </c>
      <c r="K578" s="129"/>
    </row>
    <row r="579" spans="7:11" x14ac:dyDescent="0.3">
      <c r="G579" s="12" t="s">
        <v>17</v>
      </c>
      <c r="H579" s="12" t="s">
        <v>354</v>
      </c>
      <c r="I579" s="12" t="s">
        <v>26</v>
      </c>
      <c r="J579" s="129" t="str">
        <f t="shared" si="33"/>
        <v>Satin Sable</v>
      </c>
      <c r="K579" s="129"/>
    </row>
    <row r="580" spans="7:11" x14ac:dyDescent="0.3">
      <c r="G580" s="12" t="s">
        <v>17</v>
      </c>
      <c r="H580" s="12" t="s">
        <v>354</v>
      </c>
      <c r="I580" s="12" t="s">
        <v>914</v>
      </c>
      <c r="J580" s="129" t="str">
        <f t="shared" si="33"/>
        <v>Satin Sable w/Accent</v>
      </c>
      <c r="K580" s="129"/>
    </row>
    <row r="581" spans="7:11" x14ac:dyDescent="0.3">
      <c r="G581" s="12" t="s">
        <v>17</v>
      </c>
      <c r="H581" s="12" t="s">
        <v>354</v>
      </c>
      <c r="I581" s="12" t="s">
        <v>321</v>
      </c>
      <c r="J581" s="129" t="str">
        <f t="shared" si="33"/>
        <v>Satin Natural</v>
      </c>
      <c r="K581" s="129"/>
    </row>
    <row r="582" spans="7:11" x14ac:dyDescent="0.3">
      <c r="G582" s="12" t="s">
        <v>17</v>
      </c>
      <c r="H582" s="12" t="s">
        <v>354</v>
      </c>
      <c r="I582" s="12" t="s">
        <v>912</v>
      </c>
      <c r="J582" s="129" t="str">
        <f t="shared" si="33"/>
        <v>Satin Natural w/Accent</v>
      </c>
      <c r="K582" s="129"/>
    </row>
    <row r="583" spans="7:11" x14ac:dyDescent="0.3">
      <c r="G583" s="12" t="s">
        <v>17</v>
      </c>
      <c r="H583" s="12" t="s">
        <v>354</v>
      </c>
      <c r="I583" s="12" t="s">
        <v>309</v>
      </c>
      <c r="J583" s="129" t="str">
        <f t="shared" si="33"/>
        <v>Natural Hoop</v>
      </c>
      <c r="K583" s="129"/>
    </row>
    <row r="584" spans="7:11" x14ac:dyDescent="0.3">
      <c r="G584" s="12" t="s">
        <v>17</v>
      </c>
      <c r="H584" s="12" t="s">
        <v>354</v>
      </c>
      <c r="I584" s="12" t="s">
        <v>907</v>
      </c>
      <c r="J584" s="129" t="str">
        <f t="shared" si="33"/>
        <v>Natural w/Inlay</v>
      </c>
      <c r="K584" s="129"/>
    </row>
    <row r="585" spans="7:11" x14ac:dyDescent="0.3">
      <c r="G585" s="12" t="s">
        <v>17</v>
      </c>
      <c r="H585" s="12" t="s">
        <v>354</v>
      </c>
      <c r="I585" s="12" t="s">
        <v>909</v>
      </c>
      <c r="J585" s="129" t="str">
        <f t="shared" si="33"/>
        <v>Natural w/Accent</v>
      </c>
      <c r="K585" s="129"/>
    </row>
    <row r="586" spans="7:11" x14ac:dyDescent="0.3">
      <c r="G586" s="12" t="s">
        <v>17</v>
      </c>
      <c r="H586" s="12" t="s">
        <v>354</v>
      </c>
      <c r="I586" s="12" t="s">
        <v>313</v>
      </c>
      <c r="J586" s="129" t="str">
        <f t="shared" si="33"/>
        <v>Sable Black</v>
      </c>
      <c r="K586" s="129"/>
    </row>
    <row r="587" spans="7:11" x14ac:dyDescent="0.3">
      <c r="G587" s="12" t="s">
        <v>19</v>
      </c>
      <c r="H587" s="12" t="s">
        <v>354</v>
      </c>
      <c r="I587" s="12" t="s">
        <v>902</v>
      </c>
      <c r="J587" s="129" t="str">
        <f t="shared" si="33"/>
        <v>Satin Sable w/Inlay</v>
      </c>
      <c r="K587" s="129"/>
    </row>
    <row r="588" spans="7:11" x14ac:dyDescent="0.3">
      <c r="G588" s="12" t="s">
        <v>19</v>
      </c>
      <c r="H588" s="12" t="s">
        <v>354</v>
      </c>
      <c r="I588" s="12" t="s">
        <v>904</v>
      </c>
      <c r="J588" s="129" t="str">
        <f t="shared" si="33"/>
        <v>Satin Natural w/Inlay</v>
      </c>
      <c r="K588" s="129"/>
    </row>
    <row r="589" spans="7:11" x14ac:dyDescent="0.3">
      <c r="G589" s="12" t="s">
        <v>19</v>
      </c>
      <c r="H589" s="12" t="s">
        <v>354</v>
      </c>
      <c r="I589" s="12" t="s">
        <v>26</v>
      </c>
      <c r="J589" s="129" t="str">
        <f t="shared" si="33"/>
        <v>Satin Sable</v>
      </c>
      <c r="K589" s="129"/>
    </row>
    <row r="590" spans="7:11" x14ac:dyDescent="0.3">
      <c r="G590" s="12" t="s">
        <v>19</v>
      </c>
      <c r="H590" s="12" t="s">
        <v>354</v>
      </c>
      <c r="I590" s="12" t="s">
        <v>914</v>
      </c>
      <c r="J590" s="129" t="str">
        <f t="shared" si="33"/>
        <v>Satin Sable w/Accent</v>
      </c>
      <c r="K590" s="129"/>
    </row>
    <row r="591" spans="7:11" x14ac:dyDescent="0.3">
      <c r="G591" s="12" t="s">
        <v>19</v>
      </c>
      <c r="H591" s="12" t="s">
        <v>354</v>
      </c>
      <c r="I591" s="12" t="s">
        <v>321</v>
      </c>
      <c r="J591" s="129" t="str">
        <f t="shared" si="33"/>
        <v>Satin Natural</v>
      </c>
      <c r="K591" s="129"/>
    </row>
    <row r="592" spans="7:11" x14ac:dyDescent="0.3">
      <c r="G592" s="12" t="s">
        <v>19</v>
      </c>
      <c r="H592" s="12" t="s">
        <v>354</v>
      </c>
      <c r="I592" s="12" t="s">
        <v>912</v>
      </c>
      <c r="J592" s="129" t="str">
        <f t="shared" si="33"/>
        <v>Satin Natural w/Accent</v>
      </c>
      <c r="K592" s="129"/>
    </row>
    <row r="593" spans="7:11" x14ac:dyDescent="0.3">
      <c r="G593" s="12" t="s">
        <v>19</v>
      </c>
      <c r="H593" s="12" t="s">
        <v>354</v>
      </c>
      <c r="I593" s="12" t="s">
        <v>309</v>
      </c>
      <c r="J593" s="129" t="str">
        <f t="shared" si="33"/>
        <v>Natural Hoop</v>
      </c>
      <c r="K593" s="129"/>
    </row>
    <row r="594" spans="7:11" x14ac:dyDescent="0.3">
      <c r="G594" s="12" t="s">
        <v>19</v>
      </c>
      <c r="H594" s="12" t="s">
        <v>354</v>
      </c>
      <c r="I594" s="12" t="s">
        <v>313</v>
      </c>
      <c r="J594" s="129" t="str">
        <f t="shared" si="33"/>
        <v>Sable Black</v>
      </c>
      <c r="K594" s="129"/>
    </row>
    <row r="595" spans="7:11" x14ac:dyDescent="0.3">
      <c r="G595" s="12" t="s">
        <v>15</v>
      </c>
      <c r="H595" s="12" t="s">
        <v>303</v>
      </c>
      <c r="I595" s="12" t="s">
        <v>60</v>
      </c>
      <c r="J595" s="129" t="str">
        <f t="shared" si="33"/>
        <v>Matching Hoop</v>
      </c>
      <c r="K595" s="129"/>
    </row>
    <row r="596" spans="7:11" x14ac:dyDescent="0.3">
      <c r="G596" s="12" t="s">
        <v>15</v>
      </c>
      <c r="H596" s="12" t="s">
        <v>303</v>
      </c>
      <c r="I596" s="105" t="s">
        <v>1259</v>
      </c>
      <c r="J596" s="129" t="str">
        <f t="shared" ref="J596:J659" si="34">INDEX($C$3:$C$15,MATCH(I596,$B$3:$B$15,0))</f>
        <v>Matching Hoop w/Accent</v>
      </c>
      <c r="K596" s="129"/>
    </row>
    <row r="597" spans="7:11" x14ac:dyDescent="0.3">
      <c r="G597" s="12" t="s">
        <v>15</v>
      </c>
      <c r="H597" s="12" t="s">
        <v>303</v>
      </c>
      <c r="I597" s="12" t="s">
        <v>309</v>
      </c>
      <c r="J597" s="129" t="str">
        <f t="shared" si="34"/>
        <v>Natural Hoop</v>
      </c>
      <c r="K597" s="129"/>
    </row>
    <row r="598" spans="7:11" x14ac:dyDescent="0.3">
      <c r="G598" s="16" t="s">
        <v>16</v>
      </c>
      <c r="H598" s="12" t="s">
        <v>303</v>
      </c>
      <c r="I598" s="12" t="s">
        <v>60</v>
      </c>
      <c r="J598" s="129" t="str">
        <f t="shared" si="34"/>
        <v>Matching Hoop</v>
      </c>
      <c r="K598" s="129"/>
    </row>
    <row r="599" spans="7:11" x14ac:dyDescent="0.3">
      <c r="G599" s="16" t="s">
        <v>16</v>
      </c>
      <c r="H599" s="12" t="s">
        <v>303</v>
      </c>
      <c r="I599" s="105" t="s">
        <v>1259</v>
      </c>
      <c r="J599" s="129" t="str">
        <f t="shared" si="34"/>
        <v>Matching Hoop w/Accent</v>
      </c>
      <c r="K599" s="129"/>
    </row>
    <row r="600" spans="7:11" x14ac:dyDescent="0.3">
      <c r="G600" s="16" t="s">
        <v>16</v>
      </c>
      <c r="H600" s="12" t="s">
        <v>303</v>
      </c>
      <c r="I600" s="12" t="s">
        <v>309</v>
      </c>
      <c r="J600" s="129" t="str">
        <f t="shared" si="34"/>
        <v>Natural Hoop</v>
      </c>
      <c r="K600" s="129"/>
    </row>
    <row r="601" spans="7:11" x14ac:dyDescent="0.3">
      <c r="G601" s="12" t="s">
        <v>15</v>
      </c>
      <c r="H601" s="12" t="s">
        <v>305</v>
      </c>
      <c r="I601" s="12" t="s">
        <v>60</v>
      </c>
      <c r="J601" s="129" t="str">
        <f t="shared" si="34"/>
        <v>Matching Hoop</v>
      </c>
      <c r="K601" s="129"/>
    </row>
    <row r="602" spans="7:11" x14ac:dyDescent="0.3">
      <c r="G602" s="12" t="s">
        <v>15</v>
      </c>
      <c r="H602" s="12" t="s">
        <v>305</v>
      </c>
      <c r="I602" s="105" t="s">
        <v>1259</v>
      </c>
      <c r="J602" s="129" t="str">
        <f t="shared" si="34"/>
        <v>Matching Hoop w/Accent</v>
      </c>
      <c r="K602" s="129"/>
    </row>
    <row r="603" spans="7:11" x14ac:dyDescent="0.3">
      <c r="G603" s="12" t="s">
        <v>15</v>
      </c>
      <c r="H603" s="12" t="s">
        <v>305</v>
      </c>
      <c r="I603" s="12" t="s">
        <v>309</v>
      </c>
      <c r="J603" s="129" t="str">
        <f t="shared" si="34"/>
        <v>Natural Hoop</v>
      </c>
      <c r="K603" s="129"/>
    </row>
    <row r="604" spans="7:11" x14ac:dyDescent="0.3">
      <c r="G604" s="16" t="s">
        <v>16</v>
      </c>
      <c r="H604" s="12" t="s">
        <v>305</v>
      </c>
      <c r="I604" s="12" t="s">
        <v>60</v>
      </c>
      <c r="J604" s="129" t="str">
        <f t="shared" si="34"/>
        <v>Matching Hoop</v>
      </c>
      <c r="K604" s="129"/>
    </row>
    <row r="605" spans="7:11" x14ac:dyDescent="0.3">
      <c r="G605" s="16" t="s">
        <v>16</v>
      </c>
      <c r="H605" s="12" t="s">
        <v>305</v>
      </c>
      <c r="I605" s="105" t="s">
        <v>1259</v>
      </c>
      <c r="J605" s="129" t="str">
        <f t="shared" si="34"/>
        <v>Matching Hoop w/Accent</v>
      </c>
      <c r="K605" s="129"/>
    </row>
    <row r="606" spans="7:11" x14ac:dyDescent="0.3">
      <c r="G606" s="16" t="s">
        <v>16</v>
      </c>
      <c r="H606" s="12" t="s">
        <v>305</v>
      </c>
      <c r="I606" s="12" t="s">
        <v>309</v>
      </c>
      <c r="J606" s="129" t="str">
        <f t="shared" si="34"/>
        <v>Natural Hoop</v>
      </c>
      <c r="K606" s="129"/>
    </row>
    <row r="607" spans="7:11" x14ac:dyDescent="0.3">
      <c r="G607" s="12" t="s">
        <v>15</v>
      </c>
      <c r="H607" s="12" t="s">
        <v>356</v>
      </c>
      <c r="I607" s="12" t="s">
        <v>902</v>
      </c>
      <c r="J607" s="129" t="str">
        <f t="shared" si="34"/>
        <v>Satin Sable w/Inlay</v>
      </c>
      <c r="K607" s="129"/>
    </row>
    <row r="608" spans="7:11" x14ac:dyDescent="0.3">
      <c r="G608" s="12" t="s">
        <v>15</v>
      </c>
      <c r="H608" s="12" t="s">
        <v>356</v>
      </c>
      <c r="I608" s="12" t="s">
        <v>904</v>
      </c>
      <c r="J608" s="129" t="str">
        <f t="shared" si="34"/>
        <v>Satin Natural w/Inlay</v>
      </c>
      <c r="K608" s="129"/>
    </row>
    <row r="609" spans="7:11" x14ac:dyDescent="0.3">
      <c r="G609" s="12" t="s">
        <v>15</v>
      </c>
      <c r="H609" s="12" t="s">
        <v>356</v>
      </c>
      <c r="I609" s="12" t="s">
        <v>26</v>
      </c>
      <c r="J609" s="129" t="str">
        <f t="shared" si="34"/>
        <v>Satin Sable</v>
      </c>
      <c r="K609" s="129"/>
    </row>
    <row r="610" spans="7:11" x14ac:dyDescent="0.3">
      <c r="G610" s="12" t="s">
        <v>15</v>
      </c>
      <c r="H610" s="12" t="s">
        <v>356</v>
      </c>
      <c r="I610" s="12" t="s">
        <v>914</v>
      </c>
      <c r="J610" s="129" t="str">
        <f t="shared" si="34"/>
        <v>Satin Sable w/Accent</v>
      </c>
      <c r="K610" s="129"/>
    </row>
    <row r="611" spans="7:11" x14ac:dyDescent="0.3">
      <c r="G611" s="12" t="s">
        <v>15</v>
      </c>
      <c r="H611" s="12" t="s">
        <v>356</v>
      </c>
      <c r="I611" s="12" t="s">
        <v>321</v>
      </c>
      <c r="J611" s="129" t="str">
        <f t="shared" si="34"/>
        <v>Satin Natural</v>
      </c>
      <c r="K611" s="129"/>
    </row>
    <row r="612" spans="7:11" x14ac:dyDescent="0.3">
      <c r="G612" s="12" t="s">
        <v>15</v>
      </c>
      <c r="H612" s="12" t="s">
        <v>356</v>
      </c>
      <c r="I612" s="12" t="s">
        <v>912</v>
      </c>
      <c r="J612" s="129" t="str">
        <f t="shared" si="34"/>
        <v>Satin Natural w/Accent</v>
      </c>
      <c r="K612" s="129"/>
    </row>
    <row r="613" spans="7:11" x14ac:dyDescent="0.3">
      <c r="G613" s="12" t="s">
        <v>15</v>
      </c>
      <c r="H613" s="12" t="s">
        <v>356</v>
      </c>
      <c r="I613" s="12" t="s">
        <v>309</v>
      </c>
      <c r="J613" s="129" t="str">
        <f t="shared" si="34"/>
        <v>Natural Hoop</v>
      </c>
      <c r="K613" s="129"/>
    </row>
    <row r="614" spans="7:11" x14ac:dyDescent="0.3">
      <c r="G614" s="12" t="s">
        <v>15</v>
      </c>
      <c r="H614" s="12" t="s">
        <v>356</v>
      </c>
      <c r="I614" s="12" t="s">
        <v>907</v>
      </c>
      <c r="J614" s="129" t="str">
        <f t="shared" si="34"/>
        <v>Natural w/Inlay</v>
      </c>
      <c r="K614" s="129"/>
    </row>
    <row r="615" spans="7:11" x14ac:dyDescent="0.3">
      <c r="G615" s="12" t="s">
        <v>15</v>
      </c>
      <c r="H615" s="12" t="s">
        <v>356</v>
      </c>
      <c r="I615" s="12" t="s">
        <v>909</v>
      </c>
      <c r="J615" s="129" t="str">
        <f t="shared" si="34"/>
        <v>Natural w/Accent</v>
      </c>
      <c r="K615" s="129"/>
    </row>
    <row r="616" spans="7:11" x14ac:dyDescent="0.3">
      <c r="G616" s="12" t="s">
        <v>15</v>
      </c>
      <c r="H616" s="12" t="s">
        <v>356</v>
      </c>
      <c r="I616" s="12" t="s">
        <v>313</v>
      </c>
      <c r="J616" s="129" t="str">
        <f t="shared" si="34"/>
        <v>Sable Black</v>
      </c>
      <c r="K616" s="129"/>
    </row>
    <row r="617" spans="7:11" x14ac:dyDescent="0.3">
      <c r="G617" s="12" t="s">
        <v>16</v>
      </c>
      <c r="H617" s="12" t="s">
        <v>356</v>
      </c>
      <c r="I617" s="12" t="s">
        <v>902</v>
      </c>
      <c r="J617" s="129" t="str">
        <f t="shared" si="34"/>
        <v>Satin Sable w/Inlay</v>
      </c>
      <c r="K617" s="129"/>
    </row>
    <row r="618" spans="7:11" x14ac:dyDescent="0.3">
      <c r="G618" s="12" t="s">
        <v>16</v>
      </c>
      <c r="H618" s="12" t="s">
        <v>356</v>
      </c>
      <c r="I618" s="12" t="s">
        <v>904</v>
      </c>
      <c r="J618" s="129" t="str">
        <f t="shared" si="34"/>
        <v>Satin Natural w/Inlay</v>
      </c>
      <c r="K618" s="129"/>
    </row>
    <row r="619" spans="7:11" x14ac:dyDescent="0.3">
      <c r="G619" s="12" t="s">
        <v>16</v>
      </c>
      <c r="H619" s="12" t="s">
        <v>356</v>
      </c>
      <c r="I619" s="12" t="s">
        <v>26</v>
      </c>
      <c r="J619" s="129" t="str">
        <f t="shared" si="34"/>
        <v>Satin Sable</v>
      </c>
      <c r="K619" s="129"/>
    </row>
    <row r="620" spans="7:11" x14ac:dyDescent="0.3">
      <c r="G620" s="12" t="s">
        <v>16</v>
      </c>
      <c r="H620" s="12" t="s">
        <v>356</v>
      </c>
      <c r="I620" s="12" t="s">
        <v>914</v>
      </c>
      <c r="J620" s="129" t="str">
        <f t="shared" si="34"/>
        <v>Satin Sable w/Accent</v>
      </c>
      <c r="K620" s="129"/>
    </row>
    <row r="621" spans="7:11" x14ac:dyDescent="0.3">
      <c r="G621" s="12" t="s">
        <v>16</v>
      </c>
      <c r="H621" s="12" t="s">
        <v>356</v>
      </c>
      <c r="I621" s="12" t="s">
        <v>321</v>
      </c>
      <c r="J621" s="129" t="str">
        <f t="shared" si="34"/>
        <v>Satin Natural</v>
      </c>
      <c r="K621" s="129"/>
    </row>
    <row r="622" spans="7:11" x14ac:dyDescent="0.3">
      <c r="G622" s="12" t="s">
        <v>16</v>
      </c>
      <c r="H622" s="12" t="s">
        <v>356</v>
      </c>
      <c r="I622" s="12" t="s">
        <v>912</v>
      </c>
      <c r="J622" s="129" t="str">
        <f t="shared" si="34"/>
        <v>Satin Natural w/Accent</v>
      </c>
      <c r="K622" s="129"/>
    </row>
    <row r="623" spans="7:11" x14ac:dyDescent="0.3">
      <c r="G623" s="12" t="s">
        <v>16</v>
      </c>
      <c r="H623" s="12" t="s">
        <v>356</v>
      </c>
      <c r="I623" s="12" t="s">
        <v>309</v>
      </c>
      <c r="J623" s="129" t="str">
        <f t="shared" si="34"/>
        <v>Natural Hoop</v>
      </c>
      <c r="K623" s="129"/>
    </row>
    <row r="624" spans="7:11" x14ac:dyDescent="0.3">
      <c r="G624" s="12" t="s">
        <v>16</v>
      </c>
      <c r="H624" s="12" t="s">
        <v>356</v>
      </c>
      <c r="I624" s="12" t="s">
        <v>907</v>
      </c>
      <c r="J624" s="129" t="str">
        <f t="shared" si="34"/>
        <v>Natural w/Inlay</v>
      </c>
      <c r="K624" s="129"/>
    </row>
    <row r="625" spans="7:11" x14ac:dyDescent="0.3">
      <c r="G625" s="12" t="s">
        <v>16</v>
      </c>
      <c r="H625" s="12" t="s">
        <v>356</v>
      </c>
      <c r="I625" s="12" t="s">
        <v>909</v>
      </c>
      <c r="J625" s="129" t="str">
        <f t="shared" si="34"/>
        <v>Natural w/Accent</v>
      </c>
      <c r="K625" s="129"/>
    </row>
    <row r="626" spans="7:11" x14ac:dyDescent="0.3">
      <c r="G626" s="12" t="s">
        <v>16</v>
      </c>
      <c r="H626" s="12" t="s">
        <v>356</v>
      </c>
      <c r="I626" s="12" t="s">
        <v>313</v>
      </c>
      <c r="J626" s="129" t="str">
        <f t="shared" si="34"/>
        <v>Sable Black</v>
      </c>
      <c r="K626" s="129"/>
    </row>
    <row r="627" spans="7:11" x14ac:dyDescent="0.3">
      <c r="G627" s="12" t="s">
        <v>17</v>
      </c>
      <c r="H627" s="12" t="s">
        <v>356</v>
      </c>
      <c r="I627" s="12" t="s">
        <v>902</v>
      </c>
      <c r="J627" s="129" t="str">
        <f t="shared" si="34"/>
        <v>Satin Sable w/Inlay</v>
      </c>
      <c r="K627" s="129"/>
    </row>
    <row r="628" spans="7:11" x14ac:dyDescent="0.3">
      <c r="G628" s="12" t="s">
        <v>17</v>
      </c>
      <c r="H628" s="12" t="s">
        <v>356</v>
      </c>
      <c r="I628" s="12" t="s">
        <v>904</v>
      </c>
      <c r="J628" s="129" t="str">
        <f t="shared" si="34"/>
        <v>Satin Natural w/Inlay</v>
      </c>
      <c r="K628" s="129"/>
    </row>
    <row r="629" spans="7:11" x14ac:dyDescent="0.3">
      <c r="G629" s="12" t="s">
        <v>17</v>
      </c>
      <c r="H629" s="12" t="s">
        <v>356</v>
      </c>
      <c r="I629" s="12" t="s">
        <v>26</v>
      </c>
      <c r="J629" s="129" t="str">
        <f t="shared" si="34"/>
        <v>Satin Sable</v>
      </c>
      <c r="K629" s="129"/>
    </row>
    <row r="630" spans="7:11" x14ac:dyDescent="0.3">
      <c r="G630" s="12" t="s">
        <v>17</v>
      </c>
      <c r="H630" s="12" t="s">
        <v>356</v>
      </c>
      <c r="I630" s="12" t="s">
        <v>914</v>
      </c>
      <c r="J630" s="129" t="str">
        <f t="shared" si="34"/>
        <v>Satin Sable w/Accent</v>
      </c>
      <c r="K630" s="129"/>
    </row>
    <row r="631" spans="7:11" x14ac:dyDescent="0.3">
      <c r="G631" s="12" t="s">
        <v>17</v>
      </c>
      <c r="H631" s="12" t="s">
        <v>356</v>
      </c>
      <c r="I631" s="12" t="s">
        <v>321</v>
      </c>
      <c r="J631" s="129" t="str">
        <f t="shared" si="34"/>
        <v>Satin Natural</v>
      </c>
      <c r="K631" s="129"/>
    </row>
    <row r="632" spans="7:11" x14ac:dyDescent="0.3">
      <c r="G632" s="12" t="s">
        <v>17</v>
      </c>
      <c r="H632" s="12" t="s">
        <v>356</v>
      </c>
      <c r="I632" s="12" t="s">
        <v>912</v>
      </c>
      <c r="J632" s="129" t="str">
        <f t="shared" si="34"/>
        <v>Satin Natural w/Accent</v>
      </c>
      <c r="K632" s="129"/>
    </row>
    <row r="633" spans="7:11" x14ac:dyDescent="0.3">
      <c r="G633" s="12" t="s">
        <v>17</v>
      </c>
      <c r="H633" s="12" t="s">
        <v>356</v>
      </c>
      <c r="I633" s="12" t="s">
        <v>309</v>
      </c>
      <c r="J633" s="129" t="str">
        <f t="shared" si="34"/>
        <v>Natural Hoop</v>
      </c>
      <c r="K633" s="129"/>
    </row>
    <row r="634" spans="7:11" x14ac:dyDescent="0.3">
      <c r="G634" s="12" t="s">
        <v>17</v>
      </c>
      <c r="H634" s="12" t="s">
        <v>356</v>
      </c>
      <c r="I634" s="12" t="s">
        <v>907</v>
      </c>
      <c r="J634" s="129" t="str">
        <f t="shared" si="34"/>
        <v>Natural w/Inlay</v>
      </c>
      <c r="K634" s="129"/>
    </row>
    <row r="635" spans="7:11" x14ac:dyDescent="0.3">
      <c r="G635" s="12" t="s">
        <v>17</v>
      </c>
      <c r="H635" s="12" t="s">
        <v>356</v>
      </c>
      <c r="I635" s="12" t="s">
        <v>909</v>
      </c>
      <c r="J635" s="129" t="str">
        <f t="shared" si="34"/>
        <v>Natural w/Accent</v>
      </c>
      <c r="K635" s="129"/>
    </row>
    <row r="636" spans="7:11" x14ac:dyDescent="0.3">
      <c r="G636" s="12" t="s">
        <v>17</v>
      </c>
      <c r="H636" s="12" t="s">
        <v>356</v>
      </c>
      <c r="I636" s="12" t="s">
        <v>313</v>
      </c>
      <c r="J636" s="129" t="str">
        <f t="shared" si="34"/>
        <v>Sable Black</v>
      </c>
      <c r="K636" s="129"/>
    </row>
    <row r="637" spans="7:11" x14ac:dyDescent="0.3">
      <c r="G637" s="12" t="s">
        <v>19</v>
      </c>
      <c r="H637" s="12" t="s">
        <v>356</v>
      </c>
      <c r="I637" s="12" t="s">
        <v>902</v>
      </c>
      <c r="J637" s="129" t="str">
        <f t="shared" si="34"/>
        <v>Satin Sable w/Inlay</v>
      </c>
      <c r="K637" s="129"/>
    </row>
    <row r="638" spans="7:11" x14ac:dyDescent="0.3">
      <c r="G638" s="12" t="s">
        <v>19</v>
      </c>
      <c r="H638" s="12" t="s">
        <v>356</v>
      </c>
      <c r="I638" s="12" t="s">
        <v>904</v>
      </c>
      <c r="J638" s="129" t="str">
        <f t="shared" si="34"/>
        <v>Satin Natural w/Inlay</v>
      </c>
      <c r="K638" s="129"/>
    </row>
    <row r="639" spans="7:11" x14ac:dyDescent="0.3">
      <c r="G639" s="12" t="s">
        <v>19</v>
      </c>
      <c r="H639" s="12" t="s">
        <v>356</v>
      </c>
      <c r="I639" s="12" t="s">
        <v>26</v>
      </c>
      <c r="J639" s="129" t="str">
        <f t="shared" si="34"/>
        <v>Satin Sable</v>
      </c>
      <c r="K639" s="129"/>
    </row>
    <row r="640" spans="7:11" x14ac:dyDescent="0.3">
      <c r="G640" s="12" t="s">
        <v>19</v>
      </c>
      <c r="H640" s="12" t="s">
        <v>356</v>
      </c>
      <c r="I640" s="12" t="s">
        <v>914</v>
      </c>
      <c r="J640" s="129" t="str">
        <f t="shared" si="34"/>
        <v>Satin Sable w/Accent</v>
      </c>
      <c r="K640" s="129"/>
    </row>
    <row r="641" spans="7:11" x14ac:dyDescent="0.3">
      <c r="G641" s="12" t="s">
        <v>19</v>
      </c>
      <c r="H641" s="12" t="s">
        <v>356</v>
      </c>
      <c r="I641" s="12" t="s">
        <v>321</v>
      </c>
      <c r="J641" s="129" t="str">
        <f t="shared" si="34"/>
        <v>Satin Natural</v>
      </c>
      <c r="K641" s="129"/>
    </row>
    <row r="642" spans="7:11" x14ac:dyDescent="0.3">
      <c r="G642" s="12" t="s">
        <v>19</v>
      </c>
      <c r="H642" s="12" t="s">
        <v>356</v>
      </c>
      <c r="I642" s="12" t="s">
        <v>912</v>
      </c>
      <c r="J642" s="129" t="str">
        <f t="shared" si="34"/>
        <v>Satin Natural w/Accent</v>
      </c>
      <c r="K642" s="129"/>
    </row>
    <row r="643" spans="7:11" x14ac:dyDescent="0.3">
      <c r="G643" s="12" t="s">
        <v>19</v>
      </c>
      <c r="H643" s="12" t="s">
        <v>356</v>
      </c>
      <c r="I643" s="12" t="s">
        <v>309</v>
      </c>
      <c r="J643" s="129" t="str">
        <f t="shared" si="34"/>
        <v>Natural Hoop</v>
      </c>
      <c r="K643" s="129"/>
    </row>
    <row r="644" spans="7:11" x14ac:dyDescent="0.3">
      <c r="G644" s="12" t="s">
        <v>19</v>
      </c>
      <c r="H644" s="12" t="s">
        <v>356</v>
      </c>
      <c r="I644" s="12" t="s">
        <v>313</v>
      </c>
      <c r="J644" s="129" t="str">
        <f t="shared" si="34"/>
        <v>Sable Black</v>
      </c>
      <c r="K644" s="129"/>
    </row>
    <row r="645" spans="7:11" x14ac:dyDescent="0.3">
      <c r="G645" s="12" t="s">
        <v>15</v>
      </c>
      <c r="H645" s="12" t="s">
        <v>358</v>
      </c>
      <c r="I645" s="12" t="s">
        <v>902</v>
      </c>
      <c r="J645" s="129" t="str">
        <f t="shared" si="34"/>
        <v>Satin Sable w/Inlay</v>
      </c>
      <c r="K645" s="129"/>
    </row>
    <row r="646" spans="7:11" x14ac:dyDescent="0.3">
      <c r="G646" s="12" t="s">
        <v>15</v>
      </c>
      <c r="H646" s="12" t="s">
        <v>358</v>
      </c>
      <c r="I646" s="12" t="s">
        <v>904</v>
      </c>
      <c r="J646" s="129" t="str">
        <f t="shared" si="34"/>
        <v>Satin Natural w/Inlay</v>
      </c>
      <c r="K646" s="129"/>
    </row>
    <row r="647" spans="7:11" x14ac:dyDescent="0.3">
      <c r="G647" s="12" t="s">
        <v>15</v>
      </c>
      <c r="H647" s="12" t="s">
        <v>358</v>
      </c>
      <c r="I647" s="12" t="s">
        <v>26</v>
      </c>
      <c r="J647" s="129" t="str">
        <f t="shared" si="34"/>
        <v>Satin Sable</v>
      </c>
      <c r="K647" s="129"/>
    </row>
    <row r="648" spans="7:11" x14ac:dyDescent="0.3">
      <c r="G648" s="12" t="s">
        <v>15</v>
      </c>
      <c r="H648" s="12" t="s">
        <v>358</v>
      </c>
      <c r="I648" s="12" t="s">
        <v>914</v>
      </c>
      <c r="J648" s="129" t="str">
        <f t="shared" si="34"/>
        <v>Satin Sable w/Accent</v>
      </c>
      <c r="K648" s="129"/>
    </row>
    <row r="649" spans="7:11" x14ac:dyDescent="0.3">
      <c r="G649" s="12" t="s">
        <v>15</v>
      </c>
      <c r="H649" s="12" t="s">
        <v>358</v>
      </c>
      <c r="I649" s="12" t="s">
        <v>321</v>
      </c>
      <c r="J649" s="129" t="str">
        <f t="shared" si="34"/>
        <v>Satin Natural</v>
      </c>
      <c r="K649" s="129"/>
    </row>
    <row r="650" spans="7:11" x14ac:dyDescent="0.3">
      <c r="G650" s="12" t="s">
        <v>15</v>
      </c>
      <c r="H650" s="12" t="s">
        <v>358</v>
      </c>
      <c r="I650" s="12" t="s">
        <v>912</v>
      </c>
      <c r="J650" s="129" t="str">
        <f t="shared" si="34"/>
        <v>Satin Natural w/Accent</v>
      </c>
      <c r="K650" s="129"/>
    </row>
    <row r="651" spans="7:11" x14ac:dyDescent="0.3">
      <c r="G651" s="12" t="s">
        <v>15</v>
      </c>
      <c r="H651" s="12" t="s">
        <v>358</v>
      </c>
      <c r="I651" s="12" t="s">
        <v>309</v>
      </c>
      <c r="J651" s="129" t="str">
        <f t="shared" si="34"/>
        <v>Natural Hoop</v>
      </c>
      <c r="K651" s="129"/>
    </row>
    <row r="652" spans="7:11" x14ac:dyDescent="0.3">
      <c r="G652" s="12" t="s">
        <v>15</v>
      </c>
      <c r="H652" s="12" t="s">
        <v>358</v>
      </c>
      <c r="I652" s="12" t="s">
        <v>907</v>
      </c>
      <c r="J652" s="129" t="str">
        <f t="shared" si="34"/>
        <v>Natural w/Inlay</v>
      </c>
      <c r="K652" s="129"/>
    </row>
    <row r="653" spans="7:11" x14ac:dyDescent="0.3">
      <c r="G653" s="12" t="s">
        <v>15</v>
      </c>
      <c r="H653" s="12" t="s">
        <v>358</v>
      </c>
      <c r="I653" s="12" t="s">
        <v>909</v>
      </c>
      <c r="J653" s="129" t="str">
        <f t="shared" si="34"/>
        <v>Natural w/Accent</v>
      </c>
      <c r="K653" s="129"/>
    </row>
    <row r="654" spans="7:11" x14ac:dyDescent="0.3">
      <c r="G654" s="12" t="s">
        <v>15</v>
      </c>
      <c r="H654" s="12" t="s">
        <v>358</v>
      </c>
      <c r="I654" s="12" t="s">
        <v>313</v>
      </c>
      <c r="J654" s="129" t="str">
        <f t="shared" si="34"/>
        <v>Sable Black</v>
      </c>
      <c r="K654" s="129"/>
    </row>
    <row r="655" spans="7:11" x14ac:dyDescent="0.3">
      <c r="G655" s="12" t="s">
        <v>16</v>
      </c>
      <c r="H655" s="12" t="s">
        <v>358</v>
      </c>
      <c r="I655" s="12" t="s">
        <v>902</v>
      </c>
      <c r="J655" s="129" t="str">
        <f t="shared" si="34"/>
        <v>Satin Sable w/Inlay</v>
      </c>
      <c r="K655" s="129"/>
    </row>
    <row r="656" spans="7:11" x14ac:dyDescent="0.3">
      <c r="G656" s="12" t="s">
        <v>16</v>
      </c>
      <c r="H656" s="12" t="s">
        <v>358</v>
      </c>
      <c r="I656" s="12" t="s">
        <v>904</v>
      </c>
      <c r="J656" s="129" t="str">
        <f t="shared" si="34"/>
        <v>Satin Natural w/Inlay</v>
      </c>
      <c r="K656" s="129"/>
    </row>
    <row r="657" spans="7:11" x14ac:dyDescent="0.3">
      <c r="G657" s="12" t="s">
        <v>16</v>
      </c>
      <c r="H657" s="12" t="s">
        <v>358</v>
      </c>
      <c r="I657" s="12" t="s">
        <v>26</v>
      </c>
      <c r="J657" s="129" t="str">
        <f t="shared" si="34"/>
        <v>Satin Sable</v>
      </c>
      <c r="K657" s="129"/>
    </row>
    <row r="658" spans="7:11" x14ac:dyDescent="0.3">
      <c r="G658" s="12" t="s">
        <v>16</v>
      </c>
      <c r="H658" s="12" t="s">
        <v>358</v>
      </c>
      <c r="I658" s="12" t="s">
        <v>914</v>
      </c>
      <c r="J658" s="129" t="str">
        <f t="shared" si="34"/>
        <v>Satin Sable w/Accent</v>
      </c>
      <c r="K658" s="129"/>
    </row>
    <row r="659" spans="7:11" x14ac:dyDescent="0.3">
      <c r="G659" s="12" t="s">
        <v>16</v>
      </c>
      <c r="H659" s="12" t="s">
        <v>358</v>
      </c>
      <c r="I659" s="12" t="s">
        <v>321</v>
      </c>
      <c r="J659" s="129" t="str">
        <f t="shared" si="34"/>
        <v>Satin Natural</v>
      </c>
      <c r="K659" s="129"/>
    </row>
    <row r="660" spans="7:11" x14ac:dyDescent="0.3">
      <c r="G660" s="12" t="s">
        <v>16</v>
      </c>
      <c r="H660" s="12" t="s">
        <v>358</v>
      </c>
      <c r="I660" s="12" t="s">
        <v>912</v>
      </c>
      <c r="J660" s="129" t="str">
        <f t="shared" ref="J660:J723" si="35">INDEX($C$3:$C$15,MATCH(I660,$B$3:$B$15,0))</f>
        <v>Satin Natural w/Accent</v>
      </c>
      <c r="K660" s="129"/>
    </row>
    <row r="661" spans="7:11" x14ac:dyDescent="0.3">
      <c r="G661" s="12" t="s">
        <v>16</v>
      </c>
      <c r="H661" s="12" t="s">
        <v>358</v>
      </c>
      <c r="I661" s="12" t="s">
        <v>309</v>
      </c>
      <c r="J661" s="129" t="str">
        <f t="shared" si="35"/>
        <v>Natural Hoop</v>
      </c>
      <c r="K661" s="129"/>
    </row>
    <row r="662" spans="7:11" x14ac:dyDescent="0.3">
      <c r="G662" s="12" t="s">
        <v>16</v>
      </c>
      <c r="H662" s="12" t="s">
        <v>358</v>
      </c>
      <c r="I662" s="12" t="s">
        <v>907</v>
      </c>
      <c r="J662" s="129" t="str">
        <f t="shared" si="35"/>
        <v>Natural w/Inlay</v>
      </c>
      <c r="K662" s="129"/>
    </row>
    <row r="663" spans="7:11" x14ac:dyDescent="0.3">
      <c r="G663" s="12" t="s">
        <v>16</v>
      </c>
      <c r="H663" s="12" t="s">
        <v>358</v>
      </c>
      <c r="I663" s="12" t="s">
        <v>909</v>
      </c>
      <c r="J663" s="129" t="str">
        <f t="shared" si="35"/>
        <v>Natural w/Accent</v>
      </c>
      <c r="K663" s="129"/>
    </row>
    <row r="664" spans="7:11" x14ac:dyDescent="0.3">
      <c r="G664" s="12" t="s">
        <v>16</v>
      </c>
      <c r="H664" s="12" t="s">
        <v>358</v>
      </c>
      <c r="I664" s="12" t="s">
        <v>313</v>
      </c>
      <c r="J664" s="129" t="str">
        <f t="shared" si="35"/>
        <v>Sable Black</v>
      </c>
      <c r="K664" s="129"/>
    </row>
    <row r="665" spans="7:11" x14ac:dyDescent="0.3">
      <c r="G665" s="12" t="s">
        <v>17</v>
      </c>
      <c r="H665" s="12" t="s">
        <v>358</v>
      </c>
      <c r="I665" s="12" t="s">
        <v>902</v>
      </c>
      <c r="J665" s="129" t="str">
        <f t="shared" si="35"/>
        <v>Satin Sable w/Inlay</v>
      </c>
      <c r="K665" s="129"/>
    </row>
    <row r="666" spans="7:11" x14ac:dyDescent="0.3">
      <c r="G666" s="12" t="s">
        <v>17</v>
      </c>
      <c r="H666" s="12" t="s">
        <v>358</v>
      </c>
      <c r="I666" s="12" t="s">
        <v>904</v>
      </c>
      <c r="J666" s="129" t="str">
        <f t="shared" si="35"/>
        <v>Satin Natural w/Inlay</v>
      </c>
      <c r="K666" s="129"/>
    </row>
    <row r="667" spans="7:11" x14ac:dyDescent="0.3">
      <c r="G667" s="12" t="s">
        <v>17</v>
      </c>
      <c r="H667" s="12" t="s">
        <v>358</v>
      </c>
      <c r="I667" s="12" t="s">
        <v>26</v>
      </c>
      <c r="J667" s="129" t="str">
        <f t="shared" si="35"/>
        <v>Satin Sable</v>
      </c>
      <c r="K667" s="129"/>
    </row>
    <row r="668" spans="7:11" x14ac:dyDescent="0.3">
      <c r="G668" s="12" t="s">
        <v>17</v>
      </c>
      <c r="H668" s="12" t="s">
        <v>358</v>
      </c>
      <c r="I668" s="12" t="s">
        <v>914</v>
      </c>
      <c r="J668" s="129" t="str">
        <f t="shared" si="35"/>
        <v>Satin Sable w/Accent</v>
      </c>
      <c r="K668" s="129"/>
    </row>
    <row r="669" spans="7:11" x14ac:dyDescent="0.3">
      <c r="G669" s="12" t="s">
        <v>17</v>
      </c>
      <c r="H669" s="12" t="s">
        <v>358</v>
      </c>
      <c r="I669" s="12" t="s">
        <v>321</v>
      </c>
      <c r="J669" s="129" t="str">
        <f t="shared" si="35"/>
        <v>Satin Natural</v>
      </c>
      <c r="K669" s="129"/>
    </row>
    <row r="670" spans="7:11" x14ac:dyDescent="0.3">
      <c r="G670" s="12" t="s">
        <v>17</v>
      </c>
      <c r="H670" s="12" t="s">
        <v>358</v>
      </c>
      <c r="I670" s="12" t="s">
        <v>912</v>
      </c>
      <c r="J670" s="129" t="str">
        <f t="shared" si="35"/>
        <v>Satin Natural w/Accent</v>
      </c>
      <c r="K670" s="129"/>
    </row>
    <row r="671" spans="7:11" x14ac:dyDescent="0.3">
      <c r="G671" s="12" t="s">
        <v>17</v>
      </c>
      <c r="H671" s="12" t="s">
        <v>358</v>
      </c>
      <c r="I671" s="12" t="s">
        <v>309</v>
      </c>
      <c r="J671" s="129" t="str">
        <f t="shared" si="35"/>
        <v>Natural Hoop</v>
      </c>
      <c r="K671" s="129"/>
    </row>
    <row r="672" spans="7:11" x14ac:dyDescent="0.3">
      <c r="G672" s="12" t="s">
        <v>17</v>
      </c>
      <c r="H672" s="12" t="s">
        <v>358</v>
      </c>
      <c r="I672" s="12" t="s">
        <v>907</v>
      </c>
      <c r="J672" s="129" t="str">
        <f t="shared" si="35"/>
        <v>Natural w/Inlay</v>
      </c>
      <c r="K672" s="129"/>
    </row>
    <row r="673" spans="7:11" x14ac:dyDescent="0.3">
      <c r="G673" s="12" t="s">
        <v>17</v>
      </c>
      <c r="H673" s="12" t="s">
        <v>358</v>
      </c>
      <c r="I673" s="12" t="s">
        <v>909</v>
      </c>
      <c r="J673" s="129" t="str">
        <f t="shared" si="35"/>
        <v>Natural w/Accent</v>
      </c>
      <c r="K673" s="129"/>
    </row>
    <row r="674" spans="7:11" x14ac:dyDescent="0.3">
      <c r="G674" s="12" t="s">
        <v>17</v>
      </c>
      <c r="H674" s="12" t="s">
        <v>358</v>
      </c>
      <c r="I674" s="12" t="s">
        <v>313</v>
      </c>
      <c r="J674" s="129" t="str">
        <f t="shared" si="35"/>
        <v>Sable Black</v>
      </c>
      <c r="K674" s="129"/>
    </row>
    <row r="675" spans="7:11" x14ac:dyDescent="0.3">
      <c r="G675" s="12" t="s">
        <v>19</v>
      </c>
      <c r="H675" s="12" t="s">
        <v>358</v>
      </c>
      <c r="I675" s="12" t="s">
        <v>902</v>
      </c>
      <c r="J675" s="129" t="str">
        <f t="shared" si="35"/>
        <v>Satin Sable w/Inlay</v>
      </c>
      <c r="K675" s="129"/>
    </row>
    <row r="676" spans="7:11" x14ac:dyDescent="0.3">
      <c r="G676" s="12" t="s">
        <v>19</v>
      </c>
      <c r="H676" s="12" t="s">
        <v>358</v>
      </c>
      <c r="I676" s="12" t="s">
        <v>904</v>
      </c>
      <c r="J676" s="129" t="str">
        <f t="shared" si="35"/>
        <v>Satin Natural w/Inlay</v>
      </c>
      <c r="K676" s="129"/>
    </row>
    <row r="677" spans="7:11" x14ac:dyDescent="0.3">
      <c r="G677" s="12" t="s">
        <v>19</v>
      </c>
      <c r="H677" s="12" t="s">
        <v>358</v>
      </c>
      <c r="I677" s="12" t="s">
        <v>26</v>
      </c>
      <c r="J677" s="129" t="str">
        <f t="shared" si="35"/>
        <v>Satin Sable</v>
      </c>
      <c r="K677" s="129"/>
    </row>
    <row r="678" spans="7:11" x14ac:dyDescent="0.3">
      <c r="G678" s="12" t="s">
        <v>19</v>
      </c>
      <c r="H678" s="12" t="s">
        <v>358</v>
      </c>
      <c r="I678" s="12" t="s">
        <v>914</v>
      </c>
      <c r="J678" s="129" t="str">
        <f t="shared" si="35"/>
        <v>Satin Sable w/Accent</v>
      </c>
      <c r="K678" s="129"/>
    </row>
    <row r="679" spans="7:11" x14ac:dyDescent="0.3">
      <c r="G679" s="12" t="s">
        <v>19</v>
      </c>
      <c r="H679" s="12" t="s">
        <v>358</v>
      </c>
      <c r="I679" s="12" t="s">
        <v>321</v>
      </c>
      <c r="J679" s="129" t="str">
        <f t="shared" si="35"/>
        <v>Satin Natural</v>
      </c>
      <c r="K679" s="129"/>
    </row>
    <row r="680" spans="7:11" x14ac:dyDescent="0.3">
      <c r="G680" s="12" t="s">
        <v>19</v>
      </c>
      <c r="H680" s="12" t="s">
        <v>358</v>
      </c>
      <c r="I680" s="12" t="s">
        <v>912</v>
      </c>
      <c r="J680" s="129" t="str">
        <f t="shared" si="35"/>
        <v>Satin Natural w/Accent</v>
      </c>
      <c r="K680" s="129"/>
    </row>
    <row r="681" spans="7:11" x14ac:dyDescent="0.3">
      <c r="G681" s="12" t="s">
        <v>19</v>
      </c>
      <c r="H681" s="12" t="s">
        <v>358</v>
      </c>
      <c r="I681" s="12" t="s">
        <v>309</v>
      </c>
      <c r="J681" s="129" t="str">
        <f t="shared" si="35"/>
        <v>Natural Hoop</v>
      </c>
      <c r="K681" s="129"/>
    </row>
    <row r="682" spans="7:11" x14ac:dyDescent="0.3">
      <c r="G682" s="12" t="s">
        <v>19</v>
      </c>
      <c r="H682" s="12" t="s">
        <v>358</v>
      </c>
      <c r="I682" s="12" t="s">
        <v>313</v>
      </c>
      <c r="J682" s="129" t="str">
        <f t="shared" si="35"/>
        <v>Sable Black</v>
      </c>
      <c r="K682" s="129"/>
    </row>
    <row r="683" spans="7:11" x14ac:dyDescent="0.3">
      <c r="G683" s="12" t="s">
        <v>15</v>
      </c>
      <c r="H683" s="12" t="s">
        <v>59</v>
      </c>
      <c r="I683" s="12" t="s">
        <v>902</v>
      </c>
      <c r="J683" s="129" t="str">
        <f t="shared" si="35"/>
        <v>Satin Sable w/Inlay</v>
      </c>
      <c r="K683" s="129"/>
    </row>
    <row r="684" spans="7:11" x14ac:dyDescent="0.3">
      <c r="G684" s="12" t="s">
        <v>15</v>
      </c>
      <c r="H684" s="12" t="s">
        <v>59</v>
      </c>
      <c r="I684" s="12" t="s">
        <v>904</v>
      </c>
      <c r="J684" s="129" t="str">
        <f t="shared" si="35"/>
        <v>Satin Natural w/Inlay</v>
      </c>
      <c r="K684" s="129"/>
    </row>
    <row r="685" spans="7:11" x14ac:dyDescent="0.3">
      <c r="G685" s="12" t="s">
        <v>15</v>
      </c>
      <c r="H685" s="12" t="s">
        <v>59</v>
      </c>
      <c r="I685" s="12" t="s">
        <v>26</v>
      </c>
      <c r="J685" s="129" t="str">
        <f t="shared" si="35"/>
        <v>Satin Sable</v>
      </c>
      <c r="K685" s="129"/>
    </row>
    <row r="686" spans="7:11" x14ac:dyDescent="0.3">
      <c r="G686" s="12" t="s">
        <v>15</v>
      </c>
      <c r="H686" s="12" t="s">
        <v>59</v>
      </c>
      <c r="I686" s="12" t="s">
        <v>914</v>
      </c>
      <c r="J686" s="129" t="str">
        <f t="shared" si="35"/>
        <v>Satin Sable w/Accent</v>
      </c>
      <c r="K686" s="129"/>
    </row>
    <row r="687" spans="7:11" x14ac:dyDescent="0.3">
      <c r="G687" s="12" t="s">
        <v>15</v>
      </c>
      <c r="H687" s="12" t="s">
        <v>59</v>
      </c>
      <c r="I687" s="12" t="s">
        <v>321</v>
      </c>
      <c r="J687" s="129" t="str">
        <f t="shared" si="35"/>
        <v>Satin Natural</v>
      </c>
      <c r="K687" s="129"/>
    </row>
    <row r="688" spans="7:11" x14ac:dyDescent="0.3">
      <c r="G688" s="12" t="s">
        <v>15</v>
      </c>
      <c r="H688" s="12" t="s">
        <v>59</v>
      </c>
      <c r="I688" s="12" t="s">
        <v>912</v>
      </c>
      <c r="J688" s="129" t="str">
        <f t="shared" si="35"/>
        <v>Satin Natural w/Accent</v>
      </c>
      <c r="K688" s="129"/>
    </row>
    <row r="689" spans="7:11" x14ac:dyDescent="0.3">
      <c r="G689" s="12" t="s">
        <v>15</v>
      </c>
      <c r="H689" s="12" t="s">
        <v>59</v>
      </c>
      <c r="I689" s="12" t="s">
        <v>309</v>
      </c>
      <c r="J689" s="129" t="str">
        <f t="shared" si="35"/>
        <v>Natural Hoop</v>
      </c>
      <c r="K689" s="129"/>
    </row>
    <row r="690" spans="7:11" x14ac:dyDescent="0.3">
      <c r="G690" s="12" t="s">
        <v>15</v>
      </c>
      <c r="H690" s="12" t="s">
        <v>59</v>
      </c>
      <c r="I690" s="12" t="s">
        <v>907</v>
      </c>
      <c r="J690" s="129" t="str">
        <f t="shared" si="35"/>
        <v>Natural w/Inlay</v>
      </c>
      <c r="K690" s="129"/>
    </row>
    <row r="691" spans="7:11" x14ac:dyDescent="0.3">
      <c r="G691" s="12" t="s">
        <v>15</v>
      </c>
      <c r="H691" s="12" t="s">
        <v>59</v>
      </c>
      <c r="I691" s="12" t="s">
        <v>909</v>
      </c>
      <c r="J691" s="129" t="str">
        <f t="shared" si="35"/>
        <v>Natural w/Accent</v>
      </c>
      <c r="K691" s="129"/>
    </row>
    <row r="692" spans="7:11" x14ac:dyDescent="0.3">
      <c r="G692" s="12" t="s">
        <v>15</v>
      </c>
      <c r="H692" s="12" t="s">
        <v>59</v>
      </c>
      <c r="I692" s="12" t="s">
        <v>313</v>
      </c>
      <c r="J692" s="129" t="str">
        <f t="shared" si="35"/>
        <v>Sable Black</v>
      </c>
      <c r="K692" s="129"/>
    </row>
    <row r="693" spans="7:11" x14ac:dyDescent="0.3">
      <c r="G693" s="12" t="s">
        <v>16</v>
      </c>
      <c r="H693" s="12" t="s">
        <v>59</v>
      </c>
      <c r="I693" s="12" t="s">
        <v>902</v>
      </c>
      <c r="J693" s="129" t="str">
        <f t="shared" si="35"/>
        <v>Satin Sable w/Inlay</v>
      </c>
      <c r="K693" s="129"/>
    </row>
    <row r="694" spans="7:11" x14ac:dyDescent="0.3">
      <c r="G694" s="12" t="s">
        <v>16</v>
      </c>
      <c r="H694" s="12" t="s">
        <v>59</v>
      </c>
      <c r="I694" s="12" t="s">
        <v>904</v>
      </c>
      <c r="J694" s="129" t="str">
        <f t="shared" si="35"/>
        <v>Satin Natural w/Inlay</v>
      </c>
      <c r="K694" s="129"/>
    </row>
    <row r="695" spans="7:11" x14ac:dyDescent="0.3">
      <c r="G695" s="12" t="s">
        <v>16</v>
      </c>
      <c r="H695" s="12" t="s">
        <v>59</v>
      </c>
      <c r="I695" s="12" t="s">
        <v>26</v>
      </c>
      <c r="J695" s="129" t="str">
        <f t="shared" si="35"/>
        <v>Satin Sable</v>
      </c>
      <c r="K695" s="129"/>
    </row>
    <row r="696" spans="7:11" x14ac:dyDescent="0.3">
      <c r="G696" s="12" t="s">
        <v>16</v>
      </c>
      <c r="H696" s="12" t="s">
        <v>59</v>
      </c>
      <c r="I696" s="12" t="s">
        <v>914</v>
      </c>
      <c r="J696" s="129" t="str">
        <f t="shared" si="35"/>
        <v>Satin Sable w/Accent</v>
      </c>
      <c r="K696" s="129"/>
    </row>
    <row r="697" spans="7:11" x14ac:dyDescent="0.3">
      <c r="G697" s="12" t="s">
        <v>16</v>
      </c>
      <c r="H697" s="12" t="s">
        <v>59</v>
      </c>
      <c r="I697" s="12" t="s">
        <v>321</v>
      </c>
      <c r="J697" s="129" t="str">
        <f t="shared" si="35"/>
        <v>Satin Natural</v>
      </c>
      <c r="K697" s="129"/>
    </row>
    <row r="698" spans="7:11" x14ac:dyDescent="0.3">
      <c r="G698" s="12" t="s">
        <v>16</v>
      </c>
      <c r="H698" s="12" t="s">
        <v>59</v>
      </c>
      <c r="I698" s="12" t="s">
        <v>912</v>
      </c>
      <c r="J698" s="129" t="str">
        <f t="shared" si="35"/>
        <v>Satin Natural w/Accent</v>
      </c>
      <c r="K698" s="129"/>
    </row>
    <row r="699" spans="7:11" x14ac:dyDescent="0.3">
      <c r="G699" s="12" t="s">
        <v>16</v>
      </c>
      <c r="H699" s="12" t="s">
        <v>59</v>
      </c>
      <c r="I699" s="12" t="s">
        <v>309</v>
      </c>
      <c r="J699" s="129" t="str">
        <f t="shared" si="35"/>
        <v>Natural Hoop</v>
      </c>
      <c r="K699" s="129"/>
    </row>
    <row r="700" spans="7:11" x14ac:dyDescent="0.3">
      <c r="G700" s="12" t="s">
        <v>16</v>
      </c>
      <c r="H700" s="12" t="s">
        <v>59</v>
      </c>
      <c r="I700" s="12" t="s">
        <v>907</v>
      </c>
      <c r="J700" s="129" t="str">
        <f t="shared" si="35"/>
        <v>Natural w/Inlay</v>
      </c>
      <c r="K700" s="129"/>
    </row>
    <row r="701" spans="7:11" x14ac:dyDescent="0.3">
      <c r="G701" s="12" t="s">
        <v>16</v>
      </c>
      <c r="H701" s="12" t="s">
        <v>59</v>
      </c>
      <c r="I701" s="12" t="s">
        <v>909</v>
      </c>
      <c r="J701" s="129" t="str">
        <f t="shared" si="35"/>
        <v>Natural w/Accent</v>
      </c>
      <c r="K701" s="129"/>
    </row>
    <row r="702" spans="7:11" x14ac:dyDescent="0.3">
      <c r="G702" s="12" t="s">
        <v>16</v>
      </c>
      <c r="H702" s="12" t="s">
        <v>59</v>
      </c>
      <c r="I702" s="12" t="s">
        <v>313</v>
      </c>
      <c r="J702" s="129" t="str">
        <f t="shared" si="35"/>
        <v>Sable Black</v>
      </c>
      <c r="K702" s="129"/>
    </row>
    <row r="703" spans="7:11" x14ac:dyDescent="0.3">
      <c r="G703" s="12" t="s">
        <v>17</v>
      </c>
      <c r="H703" s="12" t="s">
        <v>59</v>
      </c>
      <c r="I703" s="12" t="s">
        <v>902</v>
      </c>
      <c r="J703" s="129" t="str">
        <f t="shared" si="35"/>
        <v>Satin Sable w/Inlay</v>
      </c>
      <c r="K703" s="129"/>
    </row>
    <row r="704" spans="7:11" x14ac:dyDescent="0.3">
      <c r="G704" s="12" t="s">
        <v>17</v>
      </c>
      <c r="H704" s="12" t="s">
        <v>59</v>
      </c>
      <c r="I704" s="12" t="s">
        <v>904</v>
      </c>
      <c r="J704" s="129" t="str">
        <f t="shared" si="35"/>
        <v>Satin Natural w/Inlay</v>
      </c>
      <c r="K704" s="129"/>
    </row>
    <row r="705" spans="7:11" x14ac:dyDescent="0.3">
      <c r="G705" s="12" t="s">
        <v>17</v>
      </c>
      <c r="H705" s="12" t="s">
        <v>59</v>
      </c>
      <c r="I705" s="12" t="s">
        <v>26</v>
      </c>
      <c r="J705" s="129" t="str">
        <f t="shared" si="35"/>
        <v>Satin Sable</v>
      </c>
      <c r="K705" s="129"/>
    </row>
    <row r="706" spans="7:11" x14ac:dyDescent="0.3">
      <c r="G706" s="12" t="s">
        <v>17</v>
      </c>
      <c r="H706" s="12" t="s">
        <v>59</v>
      </c>
      <c r="I706" s="12" t="s">
        <v>914</v>
      </c>
      <c r="J706" s="129" t="str">
        <f t="shared" si="35"/>
        <v>Satin Sable w/Accent</v>
      </c>
      <c r="K706" s="129"/>
    </row>
    <row r="707" spans="7:11" x14ac:dyDescent="0.3">
      <c r="G707" s="12" t="s">
        <v>17</v>
      </c>
      <c r="H707" s="12" t="s">
        <v>59</v>
      </c>
      <c r="I707" s="12" t="s">
        <v>321</v>
      </c>
      <c r="J707" s="129" t="str">
        <f t="shared" si="35"/>
        <v>Satin Natural</v>
      </c>
      <c r="K707" s="129"/>
    </row>
    <row r="708" spans="7:11" x14ac:dyDescent="0.3">
      <c r="G708" s="12" t="s">
        <v>17</v>
      </c>
      <c r="H708" s="12" t="s">
        <v>59</v>
      </c>
      <c r="I708" s="12" t="s">
        <v>912</v>
      </c>
      <c r="J708" s="129" t="str">
        <f t="shared" si="35"/>
        <v>Satin Natural w/Accent</v>
      </c>
      <c r="K708" s="129"/>
    </row>
    <row r="709" spans="7:11" x14ac:dyDescent="0.3">
      <c r="G709" s="12" t="s">
        <v>17</v>
      </c>
      <c r="H709" s="12" t="s">
        <v>59</v>
      </c>
      <c r="I709" s="12" t="s">
        <v>309</v>
      </c>
      <c r="J709" s="129" t="str">
        <f t="shared" si="35"/>
        <v>Natural Hoop</v>
      </c>
      <c r="K709" s="129"/>
    </row>
    <row r="710" spans="7:11" x14ac:dyDescent="0.3">
      <c r="G710" s="12" t="s">
        <v>17</v>
      </c>
      <c r="H710" s="12" t="s">
        <v>59</v>
      </c>
      <c r="I710" s="12" t="s">
        <v>907</v>
      </c>
      <c r="J710" s="129" t="str">
        <f t="shared" si="35"/>
        <v>Natural w/Inlay</v>
      </c>
      <c r="K710" s="129"/>
    </row>
    <row r="711" spans="7:11" x14ac:dyDescent="0.3">
      <c r="G711" s="12" t="s">
        <v>17</v>
      </c>
      <c r="H711" s="12" t="s">
        <v>59</v>
      </c>
      <c r="I711" s="12" t="s">
        <v>909</v>
      </c>
      <c r="J711" s="129" t="str">
        <f t="shared" si="35"/>
        <v>Natural w/Accent</v>
      </c>
      <c r="K711" s="129"/>
    </row>
    <row r="712" spans="7:11" x14ac:dyDescent="0.3">
      <c r="G712" s="12" t="s">
        <v>17</v>
      </c>
      <c r="H712" s="12" t="s">
        <v>59</v>
      </c>
      <c r="I712" s="12" t="s">
        <v>313</v>
      </c>
      <c r="J712" s="129" t="str">
        <f t="shared" si="35"/>
        <v>Sable Black</v>
      </c>
      <c r="K712" s="129"/>
    </row>
    <row r="713" spans="7:11" x14ac:dyDescent="0.3">
      <c r="G713" s="12" t="s">
        <v>19</v>
      </c>
      <c r="H713" s="12" t="s">
        <v>59</v>
      </c>
      <c r="I713" s="12" t="s">
        <v>902</v>
      </c>
      <c r="J713" s="129" t="str">
        <f t="shared" si="35"/>
        <v>Satin Sable w/Inlay</v>
      </c>
      <c r="K713" s="129"/>
    </row>
    <row r="714" spans="7:11" x14ac:dyDescent="0.3">
      <c r="G714" s="12" t="s">
        <v>19</v>
      </c>
      <c r="H714" s="12" t="s">
        <v>59</v>
      </c>
      <c r="I714" s="12" t="s">
        <v>904</v>
      </c>
      <c r="J714" s="129" t="str">
        <f t="shared" si="35"/>
        <v>Satin Natural w/Inlay</v>
      </c>
      <c r="K714" s="129"/>
    </row>
    <row r="715" spans="7:11" x14ac:dyDescent="0.3">
      <c r="G715" s="12" t="s">
        <v>19</v>
      </c>
      <c r="H715" s="12" t="s">
        <v>59</v>
      </c>
      <c r="I715" s="12" t="s">
        <v>26</v>
      </c>
      <c r="J715" s="129" t="str">
        <f t="shared" si="35"/>
        <v>Satin Sable</v>
      </c>
      <c r="K715" s="129"/>
    </row>
    <row r="716" spans="7:11" x14ac:dyDescent="0.3">
      <c r="G716" s="12" t="s">
        <v>19</v>
      </c>
      <c r="H716" s="12" t="s">
        <v>59</v>
      </c>
      <c r="I716" s="12" t="s">
        <v>914</v>
      </c>
      <c r="J716" s="129" t="str">
        <f t="shared" si="35"/>
        <v>Satin Sable w/Accent</v>
      </c>
      <c r="K716" s="129"/>
    </row>
    <row r="717" spans="7:11" x14ac:dyDescent="0.3">
      <c r="G717" s="12" t="s">
        <v>19</v>
      </c>
      <c r="H717" s="12" t="s">
        <v>59</v>
      </c>
      <c r="I717" s="12" t="s">
        <v>321</v>
      </c>
      <c r="J717" s="129" t="str">
        <f t="shared" si="35"/>
        <v>Satin Natural</v>
      </c>
      <c r="K717" s="129"/>
    </row>
    <row r="718" spans="7:11" x14ac:dyDescent="0.3">
      <c r="G718" s="12" t="s">
        <v>19</v>
      </c>
      <c r="H718" s="12" t="s">
        <v>59</v>
      </c>
      <c r="I718" s="12" t="s">
        <v>912</v>
      </c>
      <c r="J718" s="129" t="str">
        <f t="shared" si="35"/>
        <v>Satin Natural w/Accent</v>
      </c>
      <c r="K718" s="129"/>
    </row>
    <row r="719" spans="7:11" x14ac:dyDescent="0.3">
      <c r="G719" s="12" t="s">
        <v>19</v>
      </c>
      <c r="H719" s="12" t="s">
        <v>59</v>
      </c>
      <c r="I719" s="12" t="s">
        <v>309</v>
      </c>
      <c r="J719" s="129" t="str">
        <f t="shared" si="35"/>
        <v>Natural Hoop</v>
      </c>
      <c r="K719" s="129"/>
    </row>
    <row r="720" spans="7:11" x14ac:dyDescent="0.3">
      <c r="G720" s="12" t="s">
        <v>19</v>
      </c>
      <c r="H720" s="12" t="s">
        <v>59</v>
      </c>
      <c r="I720" s="12" t="s">
        <v>313</v>
      </c>
      <c r="J720" s="129" t="str">
        <f t="shared" si="35"/>
        <v>Sable Black</v>
      </c>
      <c r="K720" s="129"/>
    </row>
    <row r="721" spans="7:11" x14ac:dyDescent="0.3">
      <c r="G721" s="12" t="s">
        <v>15</v>
      </c>
      <c r="H721" s="12" t="s">
        <v>307</v>
      </c>
      <c r="I721" s="12" t="s">
        <v>60</v>
      </c>
      <c r="J721" s="129" t="str">
        <f t="shared" si="35"/>
        <v>Matching Hoop</v>
      </c>
      <c r="K721" s="129"/>
    </row>
    <row r="722" spans="7:11" x14ac:dyDescent="0.3">
      <c r="G722" s="12" t="s">
        <v>15</v>
      </c>
      <c r="H722" s="12" t="s">
        <v>307</v>
      </c>
      <c r="I722" s="105" t="s">
        <v>1259</v>
      </c>
      <c r="J722" s="129" t="str">
        <f t="shared" si="35"/>
        <v>Matching Hoop w/Accent</v>
      </c>
      <c r="K722" s="129"/>
    </row>
    <row r="723" spans="7:11" x14ac:dyDescent="0.3">
      <c r="G723" s="12" t="s">
        <v>15</v>
      </c>
      <c r="H723" s="12" t="s">
        <v>307</v>
      </c>
      <c r="I723" s="12" t="s">
        <v>309</v>
      </c>
      <c r="J723" s="129" t="str">
        <f t="shared" si="35"/>
        <v>Natural Hoop</v>
      </c>
      <c r="K723" s="129"/>
    </row>
    <row r="724" spans="7:11" x14ac:dyDescent="0.3">
      <c r="G724" s="16" t="s">
        <v>16</v>
      </c>
      <c r="H724" s="12" t="s">
        <v>307</v>
      </c>
      <c r="I724" s="12" t="s">
        <v>60</v>
      </c>
      <c r="J724" s="129" t="str">
        <f t="shared" ref="J724:J787" si="36">INDEX($C$3:$C$15,MATCH(I724,$B$3:$B$15,0))</f>
        <v>Matching Hoop</v>
      </c>
      <c r="K724" s="129"/>
    </row>
    <row r="725" spans="7:11" x14ac:dyDescent="0.3">
      <c r="G725" s="16" t="s">
        <v>16</v>
      </c>
      <c r="H725" s="12" t="s">
        <v>307</v>
      </c>
      <c r="I725" s="105" t="s">
        <v>1259</v>
      </c>
      <c r="J725" s="129" t="str">
        <f t="shared" si="36"/>
        <v>Matching Hoop w/Accent</v>
      </c>
      <c r="K725" s="129"/>
    </row>
    <row r="726" spans="7:11" x14ac:dyDescent="0.3">
      <c r="G726" s="16" t="s">
        <v>16</v>
      </c>
      <c r="H726" s="12" t="s">
        <v>307</v>
      </c>
      <c r="I726" s="12" t="s">
        <v>309</v>
      </c>
      <c r="J726" s="129" t="str">
        <f t="shared" si="36"/>
        <v>Natural Hoop</v>
      </c>
      <c r="K726" s="129"/>
    </row>
    <row r="727" spans="7:11" x14ac:dyDescent="0.3">
      <c r="G727" s="12" t="s">
        <v>15</v>
      </c>
      <c r="H727" s="12" t="s">
        <v>361</v>
      </c>
      <c r="I727" s="12" t="s">
        <v>902</v>
      </c>
      <c r="J727" s="129" t="str">
        <f t="shared" si="36"/>
        <v>Satin Sable w/Inlay</v>
      </c>
      <c r="K727" s="129"/>
    </row>
    <row r="728" spans="7:11" x14ac:dyDescent="0.3">
      <c r="G728" s="12" t="s">
        <v>15</v>
      </c>
      <c r="H728" s="12" t="s">
        <v>361</v>
      </c>
      <c r="I728" s="12" t="s">
        <v>904</v>
      </c>
      <c r="J728" s="129" t="str">
        <f t="shared" si="36"/>
        <v>Satin Natural w/Inlay</v>
      </c>
      <c r="K728" s="129"/>
    </row>
    <row r="729" spans="7:11" x14ac:dyDescent="0.3">
      <c r="G729" s="12" t="s">
        <v>15</v>
      </c>
      <c r="H729" s="12" t="s">
        <v>361</v>
      </c>
      <c r="I729" s="12" t="s">
        <v>26</v>
      </c>
      <c r="J729" s="129" t="str">
        <f t="shared" si="36"/>
        <v>Satin Sable</v>
      </c>
      <c r="K729" s="129"/>
    </row>
    <row r="730" spans="7:11" x14ac:dyDescent="0.3">
      <c r="G730" s="12" t="s">
        <v>15</v>
      </c>
      <c r="H730" s="12" t="s">
        <v>361</v>
      </c>
      <c r="I730" s="12" t="s">
        <v>914</v>
      </c>
      <c r="J730" s="129" t="str">
        <f t="shared" si="36"/>
        <v>Satin Sable w/Accent</v>
      </c>
      <c r="K730" s="129"/>
    </row>
    <row r="731" spans="7:11" x14ac:dyDescent="0.3">
      <c r="G731" s="12" t="s">
        <v>15</v>
      </c>
      <c r="H731" s="12" t="s">
        <v>361</v>
      </c>
      <c r="I731" s="12" t="s">
        <v>321</v>
      </c>
      <c r="J731" s="129" t="str">
        <f t="shared" si="36"/>
        <v>Satin Natural</v>
      </c>
      <c r="K731" s="129"/>
    </row>
    <row r="732" spans="7:11" x14ac:dyDescent="0.3">
      <c r="G732" s="12" t="s">
        <v>15</v>
      </c>
      <c r="H732" s="12" t="s">
        <v>361</v>
      </c>
      <c r="I732" s="12" t="s">
        <v>912</v>
      </c>
      <c r="J732" s="129" t="str">
        <f t="shared" si="36"/>
        <v>Satin Natural w/Accent</v>
      </c>
      <c r="K732" s="129"/>
    </row>
    <row r="733" spans="7:11" x14ac:dyDescent="0.3">
      <c r="G733" s="12" t="s">
        <v>15</v>
      </c>
      <c r="H733" s="12" t="s">
        <v>361</v>
      </c>
      <c r="I733" s="12" t="s">
        <v>309</v>
      </c>
      <c r="J733" s="129" t="str">
        <f t="shared" si="36"/>
        <v>Natural Hoop</v>
      </c>
      <c r="K733" s="129"/>
    </row>
    <row r="734" spans="7:11" x14ac:dyDescent="0.3">
      <c r="G734" s="12" t="s">
        <v>15</v>
      </c>
      <c r="H734" s="12" t="s">
        <v>361</v>
      </c>
      <c r="I734" s="12" t="s">
        <v>907</v>
      </c>
      <c r="J734" s="129" t="str">
        <f t="shared" si="36"/>
        <v>Natural w/Inlay</v>
      </c>
      <c r="K734" s="129"/>
    </row>
    <row r="735" spans="7:11" x14ac:dyDescent="0.3">
      <c r="G735" s="12" t="s">
        <v>15</v>
      </c>
      <c r="H735" s="12" t="s">
        <v>361</v>
      </c>
      <c r="I735" s="12" t="s">
        <v>909</v>
      </c>
      <c r="J735" s="129" t="str">
        <f t="shared" si="36"/>
        <v>Natural w/Accent</v>
      </c>
      <c r="K735" s="129"/>
    </row>
    <row r="736" spans="7:11" x14ac:dyDescent="0.3">
      <c r="G736" s="12" t="s">
        <v>15</v>
      </c>
      <c r="H736" s="12" t="s">
        <v>361</v>
      </c>
      <c r="I736" s="12" t="s">
        <v>313</v>
      </c>
      <c r="J736" s="129" t="str">
        <f t="shared" si="36"/>
        <v>Sable Black</v>
      </c>
      <c r="K736" s="129"/>
    </row>
    <row r="737" spans="7:11" x14ac:dyDescent="0.3">
      <c r="G737" s="12" t="s">
        <v>16</v>
      </c>
      <c r="H737" s="12" t="s">
        <v>361</v>
      </c>
      <c r="I737" s="12" t="s">
        <v>902</v>
      </c>
      <c r="J737" s="129" t="str">
        <f t="shared" si="36"/>
        <v>Satin Sable w/Inlay</v>
      </c>
      <c r="K737" s="129"/>
    </row>
    <row r="738" spans="7:11" x14ac:dyDescent="0.3">
      <c r="G738" s="12" t="s">
        <v>16</v>
      </c>
      <c r="H738" s="12" t="s">
        <v>361</v>
      </c>
      <c r="I738" s="12" t="s">
        <v>904</v>
      </c>
      <c r="J738" s="129" t="str">
        <f t="shared" si="36"/>
        <v>Satin Natural w/Inlay</v>
      </c>
      <c r="K738" s="129"/>
    </row>
    <row r="739" spans="7:11" x14ac:dyDescent="0.3">
      <c r="G739" s="12" t="s">
        <v>16</v>
      </c>
      <c r="H739" s="12" t="s">
        <v>361</v>
      </c>
      <c r="I739" s="12" t="s">
        <v>26</v>
      </c>
      <c r="J739" s="129" t="str">
        <f t="shared" si="36"/>
        <v>Satin Sable</v>
      </c>
      <c r="K739" s="129"/>
    </row>
    <row r="740" spans="7:11" x14ac:dyDescent="0.3">
      <c r="G740" s="12" t="s">
        <v>16</v>
      </c>
      <c r="H740" s="12" t="s">
        <v>361</v>
      </c>
      <c r="I740" s="12" t="s">
        <v>914</v>
      </c>
      <c r="J740" s="129" t="str">
        <f t="shared" si="36"/>
        <v>Satin Sable w/Accent</v>
      </c>
      <c r="K740" s="129"/>
    </row>
    <row r="741" spans="7:11" x14ac:dyDescent="0.3">
      <c r="G741" s="12" t="s">
        <v>16</v>
      </c>
      <c r="H741" s="12" t="s">
        <v>361</v>
      </c>
      <c r="I741" s="12" t="s">
        <v>321</v>
      </c>
      <c r="J741" s="129" t="str">
        <f t="shared" si="36"/>
        <v>Satin Natural</v>
      </c>
      <c r="K741" s="129"/>
    </row>
    <row r="742" spans="7:11" x14ac:dyDescent="0.3">
      <c r="G742" s="12" t="s">
        <v>16</v>
      </c>
      <c r="H742" s="12" t="s">
        <v>361</v>
      </c>
      <c r="I742" s="12" t="s">
        <v>912</v>
      </c>
      <c r="J742" s="129" t="str">
        <f t="shared" si="36"/>
        <v>Satin Natural w/Accent</v>
      </c>
      <c r="K742" s="129"/>
    </row>
    <row r="743" spans="7:11" x14ac:dyDescent="0.3">
      <c r="G743" s="12" t="s">
        <v>16</v>
      </c>
      <c r="H743" s="12" t="s">
        <v>361</v>
      </c>
      <c r="I743" s="12" t="s">
        <v>309</v>
      </c>
      <c r="J743" s="129" t="str">
        <f t="shared" si="36"/>
        <v>Natural Hoop</v>
      </c>
      <c r="K743" s="129"/>
    </row>
    <row r="744" spans="7:11" x14ac:dyDescent="0.3">
      <c r="G744" s="12" t="s">
        <v>16</v>
      </c>
      <c r="H744" s="12" t="s">
        <v>361</v>
      </c>
      <c r="I744" s="12" t="s">
        <v>907</v>
      </c>
      <c r="J744" s="129" t="str">
        <f t="shared" si="36"/>
        <v>Natural w/Inlay</v>
      </c>
      <c r="K744" s="129"/>
    </row>
    <row r="745" spans="7:11" x14ac:dyDescent="0.3">
      <c r="G745" s="12" t="s">
        <v>16</v>
      </c>
      <c r="H745" s="12" t="s">
        <v>361</v>
      </c>
      <c r="I745" s="12" t="s">
        <v>909</v>
      </c>
      <c r="J745" s="129" t="str">
        <f t="shared" si="36"/>
        <v>Natural w/Accent</v>
      </c>
      <c r="K745" s="129"/>
    </row>
    <row r="746" spans="7:11" x14ac:dyDescent="0.3">
      <c r="G746" s="12" t="s">
        <v>16</v>
      </c>
      <c r="H746" s="12" t="s">
        <v>361</v>
      </c>
      <c r="I746" s="12" t="s">
        <v>313</v>
      </c>
      <c r="J746" s="129" t="str">
        <f t="shared" si="36"/>
        <v>Sable Black</v>
      </c>
      <c r="K746" s="129"/>
    </row>
    <row r="747" spans="7:11" x14ac:dyDescent="0.3">
      <c r="G747" s="12" t="s">
        <v>17</v>
      </c>
      <c r="H747" s="12" t="s">
        <v>361</v>
      </c>
      <c r="I747" s="12" t="s">
        <v>902</v>
      </c>
      <c r="J747" s="129" t="str">
        <f t="shared" si="36"/>
        <v>Satin Sable w/Inlay</v>
      </c>
      <c r="K747" s="129"/>
    </row>
    <row r="748" spans="7:11" x14ac:dyDescent="0.3">
      <c r="G748" s="12" t="s">
        <v>17</v>
      </c>
      <c r="H748" s="12" t="s">
        <v>361</v>
      </c>
      <c r="I748" s="12" t="s">
        <v>904</v>
      </c>
      <c r="J748" s="129" t="str">
        <f t="shared" si="36"/>
        <v>Satin Natural w/Inlay</v>
      </c>
      <c r="K748" s="129"/>
    </row>
    <row r="749" spans="7:11" x14ac:dyDescent="0.3">
      <c r="G749" s="12" t="s">
        <v>17</v>
      </c>
      <c r="H749" s="12" t="s">
        <v>361</v>
      </c>
      <c r="I749" s="12" t="s">
        <v>26</v>
      </c>
      <c r="J749" s="129" t="str">
        <f t="shared" si="36"/>
        <v>Satin Sable</v>
      </c>
      <c r="K749" s="129"/>
    </row>
    <row r="750" spans="7:11" x14ac:dyDescent="0.3">
      <c r="G750" s="12" t="s">
        <v>17</v>
      </c>
      <c r="H750" s="12" t="s">
        <v>361</v>
      </c>
      <c r="I750" s="12" t="s">
        <v>914</v>
      </c>
      <c r="J750" s="129" t="str">
        <f t="shared" si="36"/>
        <v>Satin Sable w/Accent</v>
      </c>
      <c r="K750" s="129"/>
    </row>
    <row r="751" spans="7:11" x14ac:dyDescent="0.3">
      <c r="G751" s="12" t="s">
        <v>17</v>
      </c>
      <c r="H751" s="12" t="s">
        <v>361</v>
      </c>
      <c r="I751" s="12" t="s">
        <v>321</v>
      </c>
      <c r="J751" s="129" t="str">
        <f t="shared" si="36"/>
        <v>Satin Natural</v>
      </c>
      <c r="K751" s="129"/>
    </row>
    <row r="752" spans="7:11" x14ac:dyDescent="0.3">
      <c r="G752" s="12" t="s">
        <v>17</v>
      </c>
      <c r="H752" s="12" t="s">
        <v>361</v>
      </c>
      <c r="I752" s="12" t="s">
        <v>912</v>
      </c>
      <c r="J752" s="129" t="str">
        <f t="shared" si="36"/>
        <v>Satin Natural w/Accent</v>
      </c>
      <c r="K752" s="129"/>
    </row>
    <row r="753" spans="7:11" x14ac:dyDescent="0.3">
      <c r="G753" s="12" t="s">
        <v>17</v>
      </c>
      <c r="H753" s="12" t="s">
        <v>361</v>
      </c>
      <c r="I753" s="12" t="s">
        <v>309</v>
      </c>
      <c r="J753" s="129" t="str">
        <f t="shared" si="36"/>
        <v>Natural Hoop</v>
      </c>
      <c r="K753" s="129"/>
    </row>
    <row r="754" spans="7:11" x14ac:dyDescent="0.3">
      <c r="G754" s="12" t="s">
        <v>17</v>
      </c>
      <c r="H754" s="12" t="s">
        <v>361</v>
      </c>
      <c r="I754" s="12" t="s">
        <v>907</v>
      </c>
      <c r="J754" s="129" t="str">
        <f t="shared" si="36"/>
        <v>Natural w/Inlay</v>
      </c>
      <c r="K754" s="129"/>
    </row>
    <row r="755" spans="7:11" x14ac:dyDescent="0.3">
      <c r="G755" s="12" t="s">
        <v>17</v>
      </c>
      <c r="H755" s="12" t="s">
        <v>361</v>
      </c>
      <c r="I755" s="12" t="s">
        <v>909</v>
      </c>
      <c r="J755" s="129" t="str">
        <f t="shared" si="36"/>
        <v>Natural w/Accent</v>
      </c>
      <c r="K755" s="129"/>
    </row>
    <row r="756" spans="7:11" x14ac:dyDescent="0.3">
      <c r="G756" s="12" t="s">
        <v>17</v>
      </c>
      <c r="H756" s="12" t="s">
        <v>361</v>
      </c>
      <c r="I756" s="12" t="s">
        <v>313</v>
      </c>
      <c r="J756" s="129" t="str">
        <f t="shared" si="36"/>
        <v>Sable Black</v>
      </c>
      <c r="K756" s="129"/>
    </row>
    <row r="757" spans="7:11" x14ac:dyDescent="0.3">
      <c r="G757" s="12" t="s">
        <v>19</v>
      </c>
      <c r="H757" s="12" t="s">
        <v>361</v>
      </c>
      <c r="I757" s="12" t="s">
        <v>902</v>
      </c>
      <c r="J757" s="129" t="str">
        <f t="shared" si="36"/>
        <v>Satin Sable w/Inlay</v>
      </c>
      <c r="K757" s="129"/>
    </row>
    <row r="758" spans="7:11" x14ac:dyDescent="0.3">
      <c r="G758" s="12" t="s">
        <v>19</v>
      </c>
      <c r="H758" s="12" t="s">
        <v>361</v>
      </c>
      <c r="I758" s="12" t="s">
        <v>904</v>
      </c>
      <c r="J758" s="129" t="str">
        <f t="shared" si="36"/>
        <v>Satin Natural w/Inlay</v>
      </c>
      <c r="K758" s="129"/>
    </row>
    <row r="759" spans="7:11" x14ac:dyDescent="0.3">
      <c r="G759" s="12" t="s">
        <v>19</v>
      </c>
      <c r="H759" s="12" t="s">
        <v>361</v>
      </c>
      <c r="I759" s="12" t="s">
        <v>26</v>
      </c>
      <c r="J759" s="129" t="str">
        <f t="shared" si="36"/>
        <v>Satin Sable</v>
      </c>
      <c r="K759" s="129"/>
    </row>
    <row r="760" spans="7:11" x14ac:dyDescent="0.3">
      <c r="G760" s="12" t="s">
        <v>19</v>
      </c>
      <c r="H760" s="12" t="s">
        <v>361</v>
      </c>
      <c r="I760" s="12" t="s">
        <v>914</v>
      </c>
      <c r="J760" s="129" t="str">
        <f t="shared" si="36"/>
        <v>Satin Sable w/Accent</v>
      </c>
      <c r="K760" s="129"/>
    </row>
    <row r="761" spans="7:11" x14ac:dyDescent="0.3">
      <c r="G761" s="12" t="s">
        <v>19</v>
      </c>
      <c r="H761" s="12" t="s">
        <v>361</v>
      </c>
      <c r="I761" s="12" t="s">
        <v>321</v>
      </c>
      <c r="J761" s="129" t="str">
        <f t="shared" si="36"/>
        <v>Satin Natural</v>
      </c>
      <c r="K761" s="129"/>
    </row>
    <row r="762" spans="7:11" x14ac:dyDescent="0.3">
      <c r="G762" s="12" t="s">
        <v>19</v>
      </c>
      <c r="H762" s="12" t="s">
        <v>361</v>
      </c>
      <c r="I762" s="12" t="s">
        <v>912</v>
      </c>
      <c r="J762" s="129" t="str">
        <f t="shared" si="36"/>
        <v>Satin Natural w/Accent</v>
      </c>
      <c r="K762" s="129"/>
    </row>
    <row r="763" spans="7:11" x14ac:dyDescent="0.3">
      <c r="G763" s="12" t="s">
        <v>19</v>
      </c>
      <c r="H763" s="12" t="s">
        <v>361</v>
      </c>
      <c r="I763" s="12" t="s">
        <v>309</v>
      </c>
      <c r="J763" s="129" t="str">
        <f t="shared" si="36"/>
        <v>Natural Hoop</v>
      </c>
      <c r="K763" s="129"/>
    </row>
    <row r="764" spans="7:11" x14ac:dyDescent="0.3">
      <c r="G764" s="12" t="s">
        <v>19</v>
      </c>
      <c r="H764" s="12" t="s">
        <v>361</v>
      </c>
      <c r="I764" s="12" t="s">
        <v>313</v>
      </c>
      <c r="J764" s="129" t="str">
        <f t="shared" si="36"/>
        <v>Sable Black</v>
      </c>
      <c r="K764" s="129"/>
    </row>
    <row r="765" spans="7:11" x14ac:dyDescent="0.3">
      <c r="G765" s="12" t="s">
        <v>15</v>
      </c>
      <c r="H765" s="12" t="s">
        <v>309</v>
      </c>
      <c r="I765" s="12" t="s">
        <v>60</v>
      </c>
      <c r="J765" s="129" t="str">
        <f t="shared" si="36"/>
        <v>Matching Hoop</v>
      </c>
      <c r="K765" s="129"/>
    </row>
    <row r="766" spans="7:11" x14ac:dyDescent="0.3">
      <c r="G766" s="12" t="s">
        <v>15</v>
      </c>
      <c r="H766" s="12" t="s">
        <v>309</v>
      </c>
      <c r="I766" s="105" t="s">
        <v>1259</v>
      </c>
      <c r="J766" s="129" t="str">
        <f t="shared" si="36"/>
        <v>Matching Hoop w/Accent</v>
      </c>
      <c r="K766" s="129"/>
    </row>
    <row r="767" spans="7:11" x14ac:dyDescent="0.3">
      <c r="G767" s="16" t="s">
        <v>16</v>
      </c>
      <c r="H767" s="12" t="s">
        <v>309</v>
      </c>
      <c r="I767" s="12" t="s">
        <v>60</v>
      </c>
      <c r="J767" s="129" t="str">
        <f t="shared" si="36"/>
        <v>Matching Hoop</v>
      </c>
      <c r="K767" s="129"/>
    </row>
    <row r="768" spans="7:11" x14ac:dyDescent="0.3">
      <c r="G768" s="16" t="s">
        <v>16</v>
      </c>
      <c r="H768" s="12" t="s">
        <v>309</v>
      </c>
      <c r="I768" s="105" t="s">
        <v>1259</v>
      </c>
      <c r="J768" s="129" t="str">
        <f t="shared" si="36"/>
        <v>Matching Hoop w/Accent</v>
      </c>
      <c r="K768" s="129"/>
    </row>
    <row r="769" spans="7:11" x14ac:dyDescent="0.3">
      <c r="G769" s="12" t="s">
        <v>19</v>
      </c>
      <c r="H769" s="12" t="s">
        <v>311</v>
      </c>
      <c r="I769" s="12" t="s">
        <v>60</v>
      </c>
      <c r="J769" s="129" t="str">
        <f t="shared" si="36"/>
        <v>Matching Hoop</v>
      </c>
      <c r="K769" s="129"/>
    </row>
    <row r="770" spans="7:11" x14ac:dyDescent="0.3">
      <c r="G770" s="12" t="s">
        <v>15</v>
      </c>
      <c r="H770" s="12" t="s">
        <v>363</v>
      </c>
      <c r="I770" s="12" t="s">
        <v>902</v>
      </c>
      <c r="J770" s="129" t="str">
        <f t="shared" si="36"/>
        <v>Satin Sable w/Inlay</v>
      </c>
      <c r="K770" s="129"/>
    </row>
    <row r="771" spans="7:11" x14ac:dyDescent="0.3">
      <c r="G771" s="12" t="s">
        <v>15</v>
      </c>
      <c r="H771" s="12" t="s">
        <v>363</v>
      </c>
      <c r="I771" s="12" t="s">
        <v>904</v>
      </c>
      <c r="J771" s="129" t="str">
        <f t="shared" si="36"/>
        <v>Satin Natural w/Inlay</v>
      </c>
      <c r="K771" s="129"/>
    </row>
    <row r="772" spans="7:11" x14ac:dyDescent="0.3">
      <c r="G772" s="12" t="s">
        <v>15</v>
      </c>
      <c r="H772" s="12" t="s">
        <v>363</v>
      </c>
      <c r="I772" s="12" t="s">
        <v>26</v>
      </c>
      <c r="J772" s="129" t="str">
        <f t="shared" si="36"/>
        <v>Satin Sable</v>
      </c>
      <c r="K772" s="129"/>
    </row>
    <row r="773" spans="7:11" x14ac:dyDescent="0.3">
      <c r="G773" s="12" t="s">
        <v>15</v>
      </c>
      <c r="H773" s="12" t="s">
        <v>363</v>
      </c>
      <c r="I773" s="12" t="s">
        <v>914</v>
      </c>
      <c r="J773" s="129" t="str">
        <f t="shared" si="36"/>
        <v>Satin Sable w/Accent</v>
      </c>
      <c r="K773" s="129"/>
    </row>
    <row r="774" spans="7:11" x14ac:dyDescent="0.3">
      <c r="G774" s="12" t="s">
        <v>15</v>
      </c>
      <c r="H774" s="12" t="s">
        <v>363</v>
      </c>
      <c r="I774" s="12" t="s">
        <v>321</v>
      </c>
      <c r="J774" s="129" t="str">
        <f t="shared" si="36"/>
        <v>Satin Natural</v>
      </c>
      <c r="K774" s="129"/>
    </row>
    <row r="775" spans="7:11" x14ac:dyDescent="0.3">
      <c r="G775" s="12" t="s">
        <v>15</v>
      </c>
      <c r="H775" s="12" t="s">
        <v>363</v>
      </c>
      <c r="I775" s="12" t="s">
        <v>912</v>
      </c>
      <c r="J775" s="129" t="str">
        <f t="shared" si="36"/>
        <v>Satin Natural w/Accent</v>
      </c>
      <c r="K775" s="129"/>
    </row>
    <row r="776" spans="7:11" x14ac:dyDescent="0.3">
      <c r="G776" s="12" t="s">
        <v>15</v>
      </c>
      <c r="H776" s="12" t="s">
        <v>363</v>
      </c>
      <c r="I776" s="12" t="s">
        <v>309</v>
      </c>
      <c r="J776" s="129" t="str">
        <f t="shared" si="36"/>
        <v>Natural Hoop</v>
      </c>
      <c r="K776" s="129"/>
    </row>
    <row r="777" spans="7:11" x14ac:dyDescent="0.3">
      <c r="G777" s="12" t="s">
        <v>15</v>
      </c>
      <c r="H777" s="12" t="s">
        <v>363</v>
      </c>
      <c r="I777" s="12" t="s">
        <v>907</v>
      </c>
      <c r="J777" s="129" t="str">
        <f t="shared" si="36"/>
        <v>Natural w/Inlay</v>
      </c>
      <c r="K777" s="129"/>
    </row>
    <row r="778" spans="7:11" x14ac:dyDescent="0.3">
      <c r="G778" s="12" t="s">
        <v>15</v>
      </c>
      <c r="H778" s="12" t="s">
        <v>363</v>
      </c>
      <c r="I778" s="12" t="s">
        <v>909</v>
      </c>
      <c r="J778" s="129" t="str">
        <f t="shared" si="36"/>
        <v>Natural w/Accent</v>
      </c>
      <c r="K778" s="129"/>
    </row>
    <row r="779" spans="7:11" x14ac:dyDescent="0.3">
      <c r="G779" s="12" t="s">
        <v>15</v>
      </c>
      <c r="H779" s="12" t="s">
        <v>363</v>
      </c>
      <c r="I779" s="12" t="s">
        <v>313</v>
      </c>
      <c r="J779" s="129" t="str">
        <f t="shared" si="36"/>
        <v>Sable Black</v>
      </c>
      <c r="K779" s="129"/>
    </row>
    <row r="780" spans="7:11" x14ac:dyDescent="0.3">
      <c r="G780" s="12" t="s">
        <v>16</v>
      </c>
      <c r="H780" s="12" t="s">
        <v>363</v>
      </c>
      <c r="I780" s="12" t="s">
        <v>902</v>
      </c>
      <c r="J780" s="129" t="str">
        <f t="shared" si="36"/>
        <v>Satin Sable w/Inlay</v>
      </c>
      <c r="K780" s="129"/>
    </row>
    <row r="781" spans="7:11" x14ac:dyDescent="0.3">
      <c r="G781" s="12" t="s">
        <v>16</v>
      </c>
      <c r="H781" s="12" t="s">
        <v>363</v>
      </c>
      <c r="I781" s="12" t="s">
        <v>904</v>
      </c>
      <c r="J781" s="129" t="str">
        <f t="shared" si="36"/>
        <v>Satin Natural w/Inlay</v>
      </c>
      <c r="K781" s="129"/>
    </row>
    <row r="782" spans="7:11" x14ac:dyDescent="0.3">
      <c r="G782" s="12" t="s">
        <v>16</v>
      </c>
      <c r="H782" s="12" t="s">
        <v>363</v>
      </c>
      <c r="I782" s="12" t="s">
        <v>26</v>
      </c>
      <c r="J782" s="129" t="str">
        <f t="shared" si="36"/>
        <v>Satin Sable</v>
      </c>
      <c r="K782" s="129"/>
    </row>
    <row r="783" spans="7:11" x14ac:dyDescent="0.3">
      <c r="G783" s="12" t="s">
        <v>16</v>
      </c>
      <c r="H783" s="12" t="s">
        <v>363</v>
      </c>
      <c r="I783" s="12" t="s">
        <v>914</v>
      </c>
      <c r="J783" s="129" t="str">
        <f t="shared" si="36"/>
        <v>Satin Sable w/Accent</v>
      </c>
      <c r="K783" s="129"/>
    </row>
    <row r="784" spans="7:11" x14ac:dyDescent="0.3">
      <c r="G784" s="12" t="s">
        <v>16</v>
      </c>
      <c r="H784" s="12" t="s">
        <v>363</v>
      </c>
      <c r="I784" s="12" t="s">
        <v>321</v>
      </c>
      <c r="J784" s="129" t="str">
        <f t="shared" si="36"/>
        <v>Satin Natural</v>
      </c>
      <c r="K784" s="129"/>
    </row>
    <row r="785" spans="7:11" x14ac:dyDescent="0.3">
      <c r="G785" s="12" t="s">
        <v>16</v>
      </c>
      <c r="H785" s="12" t="s">
        <v>363</v>
      </c>
      <c r="I785" s="12" t="s">
        <v>912</v>
      </c>
      <c r="J785" s="129" t="str">
        <f t="shared" si="36"/>
        <v>Satin Natural w/Accent</v>
      </c>
      <c r="K785" s="129"/>
    </row>
    <row r="786" spans="7:11" x14ac:dyDescent="0.3">
      <c r="G786" s="12" t="s">
        <v>16</v>
      </c>
      <c r="H786" s="12" t="s">
        <v>363</v>
      </c>
      <c r="I786" s="12" t="s">
        <v>309</v>
      </c>
      <c r="J786" s="129" t="str">
        <f t="shared" si="36"/>
        <v>Natural Hoop</v>
      </c>
      <c r="K786" s="129"/>
    </row>
    <row r="787" spans="7:11" x14ac:dyDescent="0.3">
      <c r="G787" s="12" t="s">
        <v>16</v>
      </c>
      <c r="H787" s="12" t="s">
        <v>363</v>
      </c>
      <c r="I787" s="12" t="s">
        <v>907</v>
      </c>
      <c r="J787" s="129" t="str">
        <f t="shared" si="36"/>
        <v>Natural w/Inlay</v>
      </c>
      <c r="K787" s="129"/>
    </row>
    <row r="788" spans="7:11" x14ac:dyDescent="0.3">
      <c r="G788" s="12" t="s">
        <v>16</v>
      </c>
      <c r="H788" s="12" t="s">
        <v>363</v>
      </c>
      <c r="I788" s="12" t="s">
        <v>909</v>
      </c>
      <c r="J788" s="129" t="str">
        <f t="shared" ref="J788:J851" si="37">INDEX($C$3:$C$15,MATCH(I788,$B$3:$B$15,0))</f>
        <v>Natural w/Accent</v>
      </c>
      <c r="K788" s="129"/>
    </row>
    <row r="789" spans="7:11" x14ac:dyDescent="0.3">
      <c r="G789" s="12" t="s">
        <v>16</v>
      </c>
      <c r="H789" s="12" t="s">
        <v>363</v>
      </c>
      <c r="I789" s="12" t="s">
        <v>313</v>
      </c>
      <c r="J789" s="129" t="str">
        <f t="shared" si="37"/>
        <v>Sable Black</v>
      </c>
      <c r="K789" s="129"/>
    </row>
    <row r="790" spans="7:11" x14ac:dyDescent="0.3">
      <c r="G790" s="12" t="s">
        <v>17</v>
      </c>
      <c r="H790" s="12" t="s">
        <v>363</v>
      </c>
      <c r="I790" s="12" t="s">
        <v>902</v>
      </c>
      <c r="J790" s="129" t="str">
        <f t="shared" si="37"/>
        <v>Satin Sable w/Inlay</v>
      </c>
      <c r="K790" s="129"/>
    </row>
    <row r="791" spans="7:11" x14ac:dyDescent="0.3">
      <c r="G791" s="12" t="s">
        <v>17</v>
      </c>
      <c r="H791" s="12" t="s">
        <v>363</v>
      </c>
      <c r="I791" s="12" t="s">
        <v>904</v>
      </c>
      <c r="J791" s="129" t="str">
        <f t="shared" si="37"/>
        <v>Satin Natural w/Inlay</v>
      </c>
      <c r="K791" s="129"/>
    </row>
    <row r="792" spans="7:11" x14ac:dyDescent="0.3">
      <c r="G792" s="12" t="s">
        <v>17</v>
      </c>
      <c r="H792" s="12" t="s">
        <v>363</v>
      </c>
      <c r="I792" s="12" t="s">
        <v>26</v>
      </c>
      <c r="J792" s="129" t="str">
        <f t="shared" si="37"/>
        <v>Satin Sable</v>
      </c>
      <c r="K792" s="129"/>
    </row>
    <row r="793" spans="7:11" x14ac:dyDescent="0.3">
      <c r="G793" s="12" t="s">
        <v>17</v>
      </c>
      <c r="H793" s="12" t="s">
        <v>363</v>
      </c>
      <c r="I793" s="12" t="s">
        <v>914</v>
      </c>
      <c r="J793" s="129" t="str">
        <f t="shared" si="37"/>
        <v>Satin Sable w/Accent</v>
      </c>
      <c r="K793" s="129"/>
    </row>
    <row r="794" spans="7:11" x14ac:dyDescent="0.3">
      <c r="G794" s="12" t="s">
        <v>17</v>
      </c>
      <c r="H794" s="12" t="s">
        <v>363</v>
      </c>
      <c r="I794" s="12" t="s">
        <v>321</v>
      </c>
      <c r="J794" s="129" t="str">
        <f t="shared" si="37"/>
        <v>Satin Natural</v>
      </c>
      <c r="K794" s="129"/>
    </row>
    <row r="795" spans="7:11" x14ac:dyDescent="0.3">
      <c r="G795" s="12" t="s">
        <v>17</v>
      </c>
      <c r="H795" s="12" t="s">
        <v>363</v>
      </c>
      <c r="I795" s="12" t="s">
        <v>912</v>
      </c>
      <c r="J795" s="129" t="str">
        <f t="shared" si="37"/>
        <v>Satin Natural w/Accent</v>
      </c>
      <c r="K795" s="129"/>
    </row>
    <row r="796" spans="7:11" x14ac:dyDescent="0.3">
      <c r="G796" s="12" t="s">
        <v>17</v>
      </c>
      <c r="H796" s="12" t="s">
        <v>363</v>
      </c>
      <c r="I796" s="12" t="s">
        <v>309</v>
      </c>
      <c r="J796" s="129" t="str">
        <f t="shared" si="37"/>
        <v>Natural Hoop</v>
      </c>
      <c r="K796" s="129"/>
    </row>
    <row r="797" spans="7:11" x14ac:dyDescent="0.3">
      <c r="G797" s="12" t="s">
        <v>17</v>
      </c>
      <c r="H797" s="12" t="s">
        <v>363</v>
      </c>
      <c r="I797" s="12" t="s">
        <v>907</v>
      </c>
      <c r="J797" s="129" t="str">
        <f t="shared" si="37"/>
        <v>Natural w/Inlay</v>
      </c>
      <c r="K797" s="129"/>
    </row>
    <row r="798" spans="7:11" x14ac:dyDescent="0.3">
      <c r="G798" s="12" t="s">
        <v>17</v>
      </c>
      <c r="H798" s="12" t="s">
        <v>363</v>
      </c>
      <c r="I798" s="12" t="s">
        <v>909</v>
      </c>
      <c r="J798" s="129" t="str">
        <f t="shared" si="37"/>
        <v>Natural w/Accent</v>
      </c>
      <c r="K798" s="129"/>
    </row>
    <row r="799" spans="7:11" x14ac:dyDescent="0.3">
      <c r="G799" s="12" t="s">
        <v>17</v>
      </c>
      <c r="H799" s="12" t="s">
        <v>363</v>
      </c>
      <c r="I799" s="12" t="s">
        <v>313</v>
      </c>
      <c r="J799" s="129" t="str">
        <f t="shared" si="37"/>
        <v>Sable Black</v>
      </c>
      <c r="K799" s="129"/>
    </row>
    <row r="800" spans="7:11" x14ac:dyDescent="0.3">
      <c r="G800" s="12" t="s">
        <v>19</v>
      </c>
      <c r="H800" s="12" t="s">
        <v>363</v>
      </c>
      <c r="I800" s="12" t="s">
        <v>902</v>
      </c>
      <c r="J800" s="129" t="str">
        <f t="shared" si="37"/>
        <v>Satin Sable w/Inlay</v>
      </c>
      <c r="K800" s="129"/>
    </row>
    <row r="801" spans="7:11" x14ac:dyDescent="0.3">
      <c r="G801" s="12" t="s">
        <v>19</v>
      </c>
      <c r="H801" s="12" t="s">
        <v>363</v>
      </c>
      <c r="I801" s="12" t="s">
        <v>904</v>
      </c>
      <c r="J801" s="129" t="str">
        <f t="shared" si="37"/>
        <v>Satin Natural w/Inlay</v>
      </c>
      <c r="K801" s="129"/>
    </row>
    <row r="802" spans="7:11" x14ac:dyDescent="0.3">
      <c r="G802" s="12" t="s">
        <v>19</v>
      </c>
      <c r="H802" s="12" t="s">
        <v>363</v>
      </c>
      <c r="I802" s="12" t="s">
        <v>26</v>
      </c>
      <c r="J802" s="129" t="str">
        <f t="shared" si="37"/>
        <v>Satin Sable</v>
      </c>
      <c r="K802" s="129"/>
    </row>
    <row r="803" spans="7:11" x14ac:dyDescent="0.3">
      <c r="G803" s="12" t="s">
        <v>19</v>
      </c>
      <c r="H803" s="12" t="s">
        <v>363</v>
      </c>
      <c r="I803" s="12" t="s">
        <v>914</v>
      </c>
      <c r="J803" s="129" t="str">
        <f t="shared" si="37"/>
        <v>Satin Sable w/Accent</v>
      </c>
      <c r="K803" s="129"/>
    </row>
    <row r="804" spans="7:11" x14ac:dyDescent="0.3">
      <c r="G804" s="12" t="s">
        <v>19</v>
      </c>
      <c r="H804" s="12" t="s">
        <v>363</v>
      </c>
      <c r="I804" s="12" t="s">
        <v>321</v>
      </c>
      <c r="J804" s="129" t="str">
        <f t="shared" si="37"/>
        <v>Satin Natural</v>
      </c>
      <c r="K804" s="129"/>
    </row>
    <row r="805" spans="7:11" x14ac:dyDescent="0.3">
      <c r="G805" s="12" t="s">
        <v>19</v>
      </c>
      <c r="H805" s="12" t="s">
        <v>363</v>
      </c>
      <c r="I805" s="12" t="s">
        <v>912</v>
      </c>
      <c r="J805" s="129" t="str">
        <f t="shared" si="37"/>
        <v>Satin Natural w/Accent</v>
      </c>
      <c r="K805" s="129"/>
    </row>
    <row r="806" spans="7:11" x14ac:dyDescent="0.3">
      <c r="G806" s="12" t="s">
        <v>19</v>
      </c>
      <c r="H806" s="12" t="s">
        <v>363</v>
      </c>
      <c r="I806" s="12" t="s">
        <v>309</v>
      </c>
      <c r="J806" s="129" t="str">
        <f t="shared" si="37"/>
        <v>Natural Hoop</v>
      </c>
      <c r="K806" s="129"/>
    </row>
    <row r="807" spans="7:11" x14ac:dyDescent="0.3">
      <c r="G807" s="12" t="s">
        <v>19</v>
      </c>
      <c r="H807" s="12" t="s">
        <v>363</v>
      </c>
      <c r="I807" s="12" t="s">
        <v>313</v>
      </c>
      <c r="J807" s="129" t="str">
        <f t="shared" si="37"/>
        <v>Sable Black</v>
      </c>
      <c r="K807" s="129"/>
    </row>
    <row r="808" spans="7:11" x14ac:dyDescent="0.3">
      <c r="G808" s="12" t="s">
        <v>15</v>
      </c>
      <c r="H808" s="13" t="s">
        <v>367</v>
      </c>
      <c r="I808" s="12" t="s">
        <v>902</v>
      </c>
      <c r="J808" s="129" t="str">
        <f t="shared" si="37"/>
        <v>Satin Sable w/Inlay</v>
      </c>
      <c r="K808" s="129"/>
    </row>
    <row r="809" spans="7:11" x14ac:dyDescent="0.3">
      <c r="G809" s="12" t="s">
        <v>15</v>
      </c>
      <c r="H809" s="13" t="s">
        <v>367</v>
      </c>
      <c r="I809" s="12" t="s">
        <v>904</v>
      </c>
      <c r="J809" s="129" t="str">
        <f t="shared" si="37"/>
        <v>Satin Natural w/Inlay</v>
      </c>
      <c r="K809" s="129"/>
    </row>
    <row r="810" spans="7:11" x14ac:dyDescent="0.3">
      <c r="G810" s="12" t="s">
        <v>15</v>
      </c>
      <c r="H810" s="12" t="s">
        <v>367</v>
      </c>
      <c r="I810" s="12" t="s">
        <v>26</v>
      </c>
      <c r="J810" s="129" t="str">
        <f t="shared" si="37"/>
        <v>Satin Sable</v>
      </c>
      <c r="K810" s="129"/>
    </row>
    <row r="811" spans="7:11" x14ac:dyDescent="0.3">
      <c r="G811" s="12" t="s">
        <v>15</v>
      </c>
      <c r="H811" s="12" t="s">
        <v>367</v>
      </c>
      <c r="I811" s="12" t="s">
        <v>914</v>
      </c>
      <c r="J811" s="129" t="str">
        <f t="shared" si="37"/>
        <v>Satin Sable w/Accent</v>
      </c>
      <c r="K811" s="129"/>
    </row>
    <row r="812" spans="7:11" x14ac:dyDescent="0.3">
      <c r="G812" s="12" t="s">
        <v>15</v>
      </c>
      <c r="H812" s="12" t="s">
        <v>367</v>
      </c>
      <c r="I812" s="12" t="s">
        <v>321</v>
      </c>
      <c r="J812" s="129" t="str">
        <f t="shared" si="37"/>
        <v>Satin Natural</v>
      </c>
      <c r="K812" s="129"/>
    </row>
    <row r="813" spans="7:11" x14ac:dyDescent="0.3">
      <c r="G813" s="12" t="s">
        <v>15</v>
      </c>
      <c r="H813" s="12" t="s">
        <v>367</v>
      </c>
      <c r="I813" s="12" t="s">
        <v>912</v>
      </c>
      <c r="J813" s="129" t="str">
        <f t="shared" si="37"/>
        <v>Satin Natural w/Accent</v>
      </c>
      <c r="K813" s="129"/>
    </row>
    <row r="814" spans="7:11" x14ac:dyDescent="0.3">
      <c r="G814" s="12" t="s">
        <v>15</v>
      </c>
      <c r="H814" s="12" t="s">
        <v>367</v>
      </c>
      <c r="I814" s="12" t="s">
        <v>309</v>
      </c>
      <c r="J814" s="129" t="str">
        <f t="shared" si="37"/>
        <v>Natural Hoop</v>
      </c>
      <c r="K814" s="129"/>
    </row>
    <row r="815" spans="7:11" x14ac:dyDescent="0.3">
      <c r="G815" s="12" t="s">
        <v>15</v>
      </c>
      <c r="H815" s="12" t="s">
        <v>367</v>
      </c>
      <c r="I815" s="12" t="s">
        <v>907</v>
      </c>
      <c r="J815" s="129" t="str">
        <f t="shared" si="37"/>
        <v>Natural w/Inlay</v>
      </c>
      <c r="K815" s="129"/>
    </row>
    <row r="816" spans="7:11" x14ac:dyDescent="0.3">
      <c r="G816" s="12" t="s">
        <v>15</v>
      </c>
      <c r="H816" s="12" t="s">
        <v>367</v>
      </c>
      <c r="I816" s="12" t="s">
        <v>909</v>
      </c>
      <c r="J816" s="129" t="str">
        <f t="shared" si="37"/>
        <v>Natural w/Accent</v>
      </c>
      <c r="K816" s="129"/>
    </row>
    <row r="817" spans="7:11" x14ac:dyDescent="0.3">
      <c r="G817" s="12" t="s">
        <v>15</v>
      </c>
      <c r="H817" s="12" t="s">
        <v>367</v>
      </c>
      <c r="I817" s="12" t="s">
        <v>313</v>
      </c>
      <c r="J817" s="129" t="str">
        <f t="shared" si="37"/>
        <v>Sable Black</v>
      </c>
      <c r="K817" s="129"/>
    </row>
    <row r="818" spans="7:11" x14ac:dyDescent="0.3">
      <c r="G818" s="12" t="s">
        <v>16</v>
      </c>
      <c r="H818" s="12" t="s">
        <v>367</v>
      </c>
      <c r="I818" s="12" t="s">
        <v>902</v>
      </c>
      <c r="J818" s="129" t="str">
        <f t="shared" si="37"/>
        <v>Satin Sable w/Inlay</v>
      </c>
      <c r="K818" s="129"/>
    </row>
    <row r="819" spans="7:11" x14ac:dyDescent="0.3">
      <c r="G819" s="12" t="s">
        <v>16</v>
      </c>
      <c r="H819" s="12" t="s">
        <v>367</v>
      </c>
      <c r="I819" s="12" t="s">
        <v>904</v>
      </c>
      <c r="J819" s="129" t="str">
        <f t="shared" si="37"/>
        <v>Satin Natural w/Inlay</v>
      </c>
      <c r="K819" s="129"/>
    </row>
    <row r="820" spans="7:11" x14ac:dyDescent="0.3">
      <c r="G820" s="12" t="s">
        <v>16</v>
      </c>
      <c r="H820" s="12" t="s">
        <v>367</v>
      </c>
      <c r="I820" s="12" t="s">
        <v>26</v>
      </c>
      <c r="J820" s="129" t="str">
        <f t="shared" si="37"/>
        <v>Satin Sable</v>
      </c>
      <c r="K820" s="129"/>
    </row>
    <row r="821" spans="7:11" x14ac:dyDescent="0.3">
      <c r="G821" s="12" t="s">
        <v>16</v>
      </c>
      <c r="H821" s="12" t="s">
        <v>367</v>
      </c>
      <c r="I821" s="12" t="s">
        <v>914</v>
      </c>
      <c r="J821" s="129" t="str">
        <f t="shared" si="37"/>
        <v>Satin Sable w/Accent</v>
      </c>
      <c r="K821" s="129"/>
    </row>
    <row r="822" spans="7:11" x14ac:dyDescent="0.3">
      <c r="G822" s="12" t="s">
        <v>16</v>
      </c>
      <c r="H822" s="12" t="s">
        <v>367</v>
      </c>
      <c r="I822" s="12" t="s">
        <v>321</v>
      </c>
      <c r="J822" s="129" t="str">
        <f t="shared" si="37"/>
        <v>Satin Natural</v>
      </c>
      <c r="K822" s="129"/>
    </row>
    <row r="823" spans="7:11" x14ac:dyDescent="0.3">
      <c r="G823" s="12" t="s">
        <v>16</v>
      </c>
      <c r="H823" s="12" t="s">
        <v>367</v>
      </c>
      <c r="I823" s="12" t="s">
        <v>912</v>
      </c>
      <c r="J823" s="129" t="str">
        <f t="shared" si="37"/>
        <v>Satin Natural w/Accent</v>
      </c>
      <c r="K823" s="129"/>
    </row>
    <row r="824" spans="7:11" x14ac:dyDescent="0.3">
      <c r="G824" s="12" t="s">
        <v>16</v>
      </c>
      <c r="H824" s="12" t="s">
        <v>367</v>
      </c>
      <c r="I824" s="12" t="s">
        <v>309</v>
      </c>
      <c r="J824" s="129" t="str">
        <f t="shared" si="37"/>
        <v>Natural Hoop</v>
      </c>
      <c r="K824" s="129"/>
    </row>
    <row r="825" spans="7:11" x14ac:dyDescent="0.3">
      <c r="G825" s="12" t="s">
        <v>16</v>
      </c>
      <c r="H825" s="12" t="s">
        <v>367</v>
      </c>
      <c r="I825" s="12" t="s">
        <v>907</v>
      </c>
      <c r="J825" s="129" t="str">
        <f t="shared" si="37"/>
        <v>Natural w/Inlay</v>
      </c>
      <c r="K825" s="129"/>
    </row>
    <row r="826" spans="7:11" x14ac:dyDescent="0.3">
      <c r="G826" s="12" t="s">
        <v>16</v>
      </c>
      <c r="H826" s="12" t="s">
        <v>367</v>
      </c>
      <c r="I826" s="12" t="s">
        <v>909</v>
      </c>
      <c r="J826" s="129" t="str">
        <f t="shared" si="37"/>
        <v>Natural w/Accent</v>
      </c>
      <c r="K826" s="129"/>
    </row>
    <row r="827" spans="7:11" x14ac:dyDescent="0.3">
      <c r="G827" s="12" t="s">
        <v>16</v>
      </c>
      <c r="H827" s="12" t="s">
        <v>367</v>
      </c>
      <c r="I827" s="12" t="s">
        <v>313</v>
      </c>
      <c r="J827" s="129" t="str">
        <f t="shared" si="37"/>
        <v>Sable Black</v>
      </c>
      <c r="K827" s="129"/>
    </row>
    <row r="828" spans="7:11" x14ac:dyDescent="0.3">
      <c r="G828" s="12" t="s">
        <v>17</v>
      </c>
      <c r="H828" s="12" t="s">
        <v>367</v>
      </c>
      <c r="I828" s="12" t="s">
        <v>902</v>
      </c>
      <c r="J828" s="129" t="str">
        <f t="shared" si="37"/>
        <v>Satin Sable w/Inlay</v>
      </c>
      <c r="K828" s="129"/>
    </row>
    <row r="829" spans="7:11" x14ac:dyDescent="0.3">
      <c r="G829" s="12" t="s">
        <v>17</v>
      </c>
      <c r="H829" s="12" t="s">
        <v>367</v>
      </c>
      <c r="I829" s="12" t="s">
        <v>904</v>
      </c>
      <c r="J829" s="129" t="str">
        <f t="shared" si="37"/>
        <v>Satin Natural w/Inlay</v>
      </c>
      <c r="K829" s="129"/>
    </row>
    <row r="830" spans="7:11" x14ac:dyDescent="0.3">
      <c r="G830" s="12" t="s">
        <v>17</v>
      </c>
      <c r="H830" s="12" t="s">
        <v>367</v>
      </c>
      <c r="I830" s="12" t="s">
        <v>26</v>
      </c>
      <c r="J830" s="129" t="str">
        <f t="shared" si="37"/>
        <v>Satin Sable</v>
      </c>
      <c r="K830" s="129"/>
    </row>
    <row r="831" spans="7:11" x14ac:dyDescent="0.3">
      <c r="G831" s="12" t="s">
        <v>17</v>
      </c>
      <c r="H831" s="12" t="s">
        <v>367</v>
      </c>
      <c r="I831" s="12" t="s">
        <v>914</v>
      </c>
      <c r="J831" s="129" t="str">
        <f t="shared" si="37"/>
        <v>Satin Sable w/Accent</v>
      </c>
      <c r="K831" s="129"/>
    </row>
    <row r="832" spans="7:11" x14ac:dyDescent="0.3">
      <c r="G832" s="12" t="s">
        <v>17</v>
      </c>
      <c r="H832" s="12" t="s">
        <v>367</v>
      </c>
      <c r="I832" s="12" t="s">
        <v>321</v>
      </c>
      <c r="J832" s="129" t="str">
        <f t="shared" si="37"/>
        <v>Satin Natural</v>
      </c>
      <c r="K832" s="129"/>
    </row>
    <row r="833" spans="7:11" x14ac:dyDescent="0.3">
      <c r="G833" s="12" t="s">
        <v>17</v>
      </c>
      <c r="H833" s="12" t="s">
        <v>367</v>
      </c>
      <c r="I833" s="12" t="s">
        <v>912</v>
      </c>
      <c r="J833" s="129" t="str">
        <f t="shared" si="37"/>
        <v>Satin Natural w/Accent</v>
      </c>
      <c r="K833" s="129"/>
    </row>
    <row r="834" spans="7:11" x14ac:dyDescent="0.3">
      <c r="G834" s="12" t="s">
        <v>17</v>
      </c>
      <c r="H834" s="12" t="s">
        <v>367</v>
      </c>
      <c r="I834" s="12" t="s">
        <v>309</v>
      </c>
      <c r="J834" s="129" t="str">
        <f t="shared" si="37"/>
        <v>Natural Hoop</v>
      </c>
      <c r="K834" s="129"/>
    </row>
    <row r="835" spans="7:11" x14ac:dyDescent="0.3">
      <c r="G835" s="12" t="s">
        <v>17</v>
      </c>
      <c r="H835" s="12" t="s">
        <v>367</v>
      </c>
      <c r="I835" s="12" t="s">
        <v>907</v>
      </c>
      <c r="J835" s="129" t="str">
        <f t="shared" si="37"/>
        <v>Natural w/Inlay</v>
      </c>
      <c r="K835" s="129"/>
    </row>
    <row r="836" spans="7:11" x14ac:dyDescent="0.3">
      <c r="G836" s="12" t="s">
        <v>17</v>
      </c>
      <c r="H836" s="12" t="s">
        <v>367</v>
      </c>
      <c r="I836" s="12" t="s">
        <v>909</v>
      </c>
      <c r="J836" s="129" t="str">
        <f t="shared" si="37"/>
        <v>Natural w/Accent</v>
      </c>
      <c r="K836" s="129"/>
    </row>
    <row r="837" spans="7:11" x14ac:dyDescent="0.3">
      <c r="G837" s="12" t="s">
        <v>17</v>
      </c>
      <c r="H837" s="12" t="s">
        <v>367</v>
      </c>
      <c r="I837" s="12" t="s">
        <v>313</v>
      </c>
      <c r="J837" s="129" t="str">
        <f t="shared" si="37"/>
        <v>Sable Black</v>
      </c>
      <c r="K837" s="129"/>
    </row>
    <row r="838" spans="7:11" x14ac:dyDescent="0.3">
      <c r="G838" s="12" t="s">
        <v>19</v>
      </c>
      <c r="H838" s="12" t="s">
        <v>367</v>
      </c>
      <c r="I838" s="12" t="s">
        <v>902</v>
      </c>
      <c r="J838" s="129" t="str">
        <f t="shared" si="37"/>
        <v>Satin Sable w/Inlay</v>
      </c>
      <c r="K838" s="129"/>
    </row>
    <row r="839" spans="7:11" x14ac:dyDescent="0.3">
      <c r="G839" s="12" t="s">
        <v>19</v>
      </c>
      <c r="H839" s="12" t="s">
        <v>367</v>
      </c>
      <c r="I839" s="12" t="s">
        <v>904</v>
      </c>
      <c r="J839" s="129" t="str">
        <f t="shared" si="37"/>
        <v>Satin Natural w/Inlay</v>
      </c>
      <c r="K839" s="129"/>
    </row>
    <row r="840" spans="7:11" x14ac:dyDescent="0.3">
      <c r="G840" s="12" t="s">
        <v>19</v>
      </c>
      <c r="H840" s="12" t="s">
        <v>367</v>
      </c>
      <c r="I840" s="12" t="s">
        <v>26</v>
      </c>
      <c r="J840" s="129" t="str">
        <f t="shared" si="37"/>
        <v>Satin Sable</v>
      </c>
      <c r="K840" s="129"/>
    </row>
    <row r="841" spans="7:11" x14ac:dyDescent="0.3">
      <c r="G841" s="12" t="s">
        <v>19</v>
      </c>
      <c r="H841" s="12" t="s">
        <v>367</v>
      </c>
      <c r="I841" s="12" t="s">
        <v>914</v>
      </c>
      <c r="J841" s="129" t="str">
        <f t="shared" si="37"/>
        <v>Satin Sable w/Accent</v>
      </c>
      <c r="K841" s="129"/>
    </row>
    <row r="842" spans="7:11" x14ac:dyDescent="0.3">
      <c r="G842" s="12" t="s">
        <v>19</v>
      </c>
      <c r="H842" s="12" t="s">
        <v>367</v>
      </c>
      <c r="I842" s="12" t="s">
        <v>321</v>
      </c>
      <c r="J842" s="129" t="str">
        <f t="shared" si="37"/>
        <v>Satin Natural</v>
      </c>
      <c r="K842" s="129"/>
    </row>
    <row r="843" spans="7:11" x14ac:dyDescent="0.3">
      <c r="G843" s="12" t="s">
        <v>19</v>
      </c>
      <c r="H843" s="12" t="s">
        <v>367</v>
      </c>
      <c r="I843" s="12" t="s">
        <v>912</v>
      </c>
      <c r="J843" s="129" t="str">
        <f t="shared" si="37"/>
        <v>Satin Natural w/Accent</v>
      </c>
      <c r="K843" s="129"/>
    </row>
    <row r="844" spans="7:11" x14ac:dyDescent="0.3">
      <c r="G844" s="12" t="s">
        <v>19</v>
      </c>
      <c r="H844" s="12" t="s">
        <v>367</v>
      </c>
      <c r="I844" s="12" t="s">
        <v>309</v>
      </c>
      <c r="J844" s="129" t="str">
        <f t="shared" si="37"/>
        <v>Natural Hoop</v>
      </c>
      <c r="K844" s="129"/>
    </row>
    <row r="845" spans="7:11" x14ac:dyDescent="0.3">
      <c r="G845" s="12" t="s">
        <v>19</v>
      </c>
      <c r="H845" s="12" t="s">
        <v>367</v>
      </c>
      <c r="I845" s="12" t="s">
        <v>313</v>
      </c>
      <c r="J845" s="129" t="str">
        <f t="shared" si="37"/>
        <v>Sable Black</v>
      </c>
      <c r="K845" s="129"/>
    </row>
    <row r="846" spans="7:11" x14ac:dyDescent="0.3">
      <c r="G846" s="12" t="s">
        <v>15</v>
      </c>
      <c r="H846" s="12" t="s">
        <v>369</v>
      </c>
      <c r="I846" s="12" t="s">
        <v>902</v>
      </c>
      <c r="J846" s="129" t="str">
        <f t="shared" si="37"/>
        <v>Satin Sable w/Inlay</v>
      </c>
      <c r="K846" s="129"/>
    </row>
    <row r="847" spans="7:11" x14ac:dyDescent="0.3">
      <c r="G847" s="12" t="s">
        <v>15</v>
      </c>
      <c r="H847" s="12" t="s">
        <v>369</v>
      </c>
      <c r="I847" s="12" t="s">
        <v>904</v>
      </c>
      <c r="J847" s="129" t="str">
        <f t="shared" si="37"/>
        <v>Satin Natural w/Inlay</v>
      </c>
      <c r="K847" s="129"/>
    </row>
    <row r="848" spans="7:11" x14ac:dyDescent="0.3">
      <c r="G848" s="12" t="s">
        <v>15</v>
      </c>
      <c r="H848" s="12" t="s">
        <v>369</v>
      </c>
      <c r="I848" s="12" t="s">
        <v>26</v>
      </c>
      <c r="J848" s="129" t="str">
        <f t="shared" si="37"/>
        <v>Satin Sable</v>
      </c>
      <c r="K848" s="129"/>
    </row>
    <row r="849" spans="7:11" x14ac:dyDescent="0.3">
      <c r="G849" s="12" t="s">
        <v>15</v>
      </c>
      <c r="H849" s="12" t="s">
        <v>369</v>
      </c>
      <c r="I849" s="12" t="s">
        <v>914</v>
      </c>
      <c r="J849" s="129" t="str">
        <f t="shared" si="37"/>
        <v>Satin Sable w/Accent</v>
      </c>
      <c r="K849" s="129"/>
    </row>
    <row r="850" spans="7:11" x14ac:dyDescent="0.3">
      <c r="G850" s="12" t="s">
        <v>15</v>
      </c>
      <c r="H850" s="12" t="s">
        <v>369</v>
      </c>
      <c r="I850" s="12" t="s">
        <v>321</v>
      </c>
      <c r="J850" s="129" t="str">
        <f t="shared" si="37"/>
        <v>Satin Natural</v>
      </c>
      <c r="K850" s="129"/>
    </row>
    <row r="851" spans="7:11" x14ac:dyDescent="0.3">
      <c r="G851" s="12" t="s">
        <v>15</v>
      </c>
      <c r="H851" s="12" t="s">
        <v>369</v>
      </c>
      <c r="I851" s="12" t="s">
        <v>912</v>
      </c>
      <c r="J851" s="129" t="str">
        <f t="shared" si="37"/>
        <v>Satin Natural w/Accent</v>
      </c>
      <c r="K851" s="129"/>
    </row>
    <row r="852" spans="7:11" x14ac:dyDescent="0.3">
      <c r="G852" s="12" t="s">
        <v>15</v>
      </c>
      <c r="H852" s="12" t="s">
        <v>369</v>
      </c>
      <c r="I852" s="12" t="s">
        <v>309</v>
      </c>
      <c r="J852" s="129" t="str">
        <f t="shared" ref="J852:J915" si="38">INDEX($C$3:$C$15,MATCH(I852,$B$3:$B$15,0))</f>
        <v>Natural Hoop</v>
      </c>
      <c r="K852" s="129"/>
    </row>
    <row r="853" spans="7:11" x14ac:dyDescent="0.3">
      <c r="G853" s="12" t="s">
        <v>15</v>
      </c>
      <c r="H853" s="12" t="s">
        <v>369</v>
      </c>
      <c r="I853" s="12" t="s">
        <v>907</v>
      </c>
      <c r="J853" s="129" t="str">
        <f t="shared" si="38"/>
        <v>Natural w/Inlay</v>
      </c>
      <c r="K853" s="129"/>
    </row>
    <row r="854" spans="7:11" x14ac:dyDescent="0.3">
      <c r="G854" s="12" t="s">
        <v>15</v>
      </c>
      <c r="H854" s="12" t="s">
        <v>369</v>
      </c>
      <c r="I854" s="12" t="s">
        <v>909</v>
      </c>
      <c r="J854" s="129" t="str">
        <f t="shared" si="38"/>
        <v>Natural w/Accent</v>
      </c>
      <c r="K854" s="129"/>
    </row>
    <row r="855" spans="7:11" x14ac:dyDescent="0.3">
      <c r="G855" s="12" t="s">
        <v>15</v>
      </c>
      <c r="H855" s="12" t="s">
        <v>369</v>
      </c>
      <c r="I855" s="12" t="s">
        <v>313</v>
      </c>
      <c r="J855" s="129" t="str">
        <f t="shared" si="38"/>
        <v>Sable Black</v>
      </c>
      <c r="K855" s="129"/>
    </row>
    <row r="856" spans="7:11" x14ac:dyDescent="0.3">
      <c r="G856" s="12" t="s">
        <v>16</v>
      </c>
      <c r="H856" s="12" t="s">
        <v>369</v>
      </c>
      <c r="I856" s="12" t="s">
        <v>902</v>
      </c>
      <c r="J856" s="129" t="str">
        <f t="shared" si="38"/>
        <v>Satin Sable w/Inlay</v>
      </c>
      <c r="K856" s="129"/>
    </row>
    <row r="857" spans="7:11" x14ac:dyDescent="0.3">
      <c r="G857" s="12" t="s">
        <v>16</v>
      </c>
      <c r="H857" s="12" t="s">
        <v>369</v>
      </c>
      <c r="I857" s="12" t="s">
        <v>904</v>
      </c>
      <c r="J857" s="129" t="str">
        <f t="shared" si="38"/>
        <v>Satin Natural w/Inlay</v>
      </c>
      <c r="K857" s="129"/>
    </row>
    <row r="858" spans="7:11" x14ac:dyDescent="0.3">
      <c r="G858" s="12" t="s">
        <v>16</v>
      </c>
      <c r="H858" s="12" t="s">
        <v>369</v>
      </c>
      <c r="I858" s="12" t="s">
        <v>26</v>
      </c>
      <c r="J858" s="129" t="str">
        <f t="shared" si="38"/>
        <v>Satin Sable</v>
      </c>
      <c r="K858" s="129"/>
    </row>
    <row r="859" spans="7:11" x14ac:dyDescent="0.3">
      <c r="G859" s="12" t="s">
        <v>16</v>
      </c>
      <c r="H859" s="12" t="s">
        <v>369</v>
      </c>
      <c r="I859" s="12" t="s">
        <v>914</v>
      </c>
      <c r="J859" s="129" t="str">
        <f t="shared" si="38"/>
        <v>Satin Sable w/Accent</v>
      </c>
      <c r="K859" s="129"/>
    </row>
    <row r="860" spans="7:11" x14ac:dyDescent="0.3">
      <c r="G860" s="12" t="s">
        <v>16</v>
      </c>
      <c r="H860" s="12" t="s">
        <v>369</v>
      </c>
      <c r="I860" s="12" t="s">
        <v>321</v>
      </c>
      <c r="J860" s="129" t="str">
        <f t="shared" si="38"/>
        <v>Satin Natural</v>
      </c>
      <c r="K860" s="129"/>
    </row>
    <row r="861" spans="7:11" x14ac:dyDescent="0.3">
      <c r="G861" s="12" t="s">
        <v>16</v>
      </c>
      <c r="H861" s="12" t="s">
        <v>369</v>
      </c>
      <c r="I861" s="12" t="s">
        <v>912</v>
      </c>
      <c r="J861" s="129" t="str">
        <f t="shared" si="38"/>
        <v>Satin Natural w/Accent</v>
      </c>
      <c r="K861" s="129"/>
    </row>
    <row r="862" spans="7:11" x14ac:dyDescent="0.3">
      <c r="G862" s="12" t="s">
        <v>16</v>
      </c>
      <c r="H862" s="12" t="s">
        <v>369</v>
      </c>
      <c r="I862" s="12" t="s">
        <v>309</v>
      </c>
      <c r="J862" s="129" t="str">
        <f t="shared" si="38"/>
        <v>Natural Hoop</v>
      </c>
      <c r="K862" s="129"/>
    </row>
    <row r="863" spans="7:11" x14ac:dyDescent="0.3">
      <c r="G863" s="12" t="s">
        <v>16</v>
      </c>
      <c r="H863" s="12" t="s">
        <v>369</v>
      </c>
      <c r="I863" s="12" t="s">
        <v>907</v>
      </c>
      <c r="J863" s="129" t="str">
        <f t="shared" si="38"/>
        <v>Natural w/Inlay</v>
      </c>
      <c r="K863" s="129"/>
    </row>
    <row r="864" spans="7:11" x14ac:dyDescent="0.3">
      <c r="G864" s="12" t="s">
        <v>16</v>
      </c>
      <c r="H864" s="12" t="s">
        <v>369</v>
      </c>
      <c r="I864" s="12" t="s">
        <v>909</v>
      </c>
      <c r="J864" s="129" t="str">
        <f t="shared" si="38"/>
        <v>Natural w/Accent</v>
      </c>
      <c r="K864" s="129"/>
    </row>
    <row r="865" spans="7:11" x14ac:dyDescent="0.3">
      <c r="G865" s="12" t="s">
        <v>16</v>
      </c>
      <c r="H865" s="12" t="s">
        <v>369</v>
      </c>
      <c r="I865" s="12" t="s">
        <v>313</v>
      </c>
      <c r="J865" s="129" t="str">
        <f t="shared" si="38"/>
        <v>Sable Black</v>
      </c>
      <c r="K865" s="129"/>
    </row>
    <row r="866" spans="7:11" x14ac:dyDescent="0.3">
      <c r="G866" s="12" t="s">
        <v>17</v>
      </c>
      <c r="H866" s="12" t="s">
        <v>369</v>
      </c>
      <c r="I866" s="12" t="s">
        <v>902</v>
      </c>
      <c r="J866" s="129" t="str">
        <f t="shared" si="38"/>
        <v>Satin Sable w/Inlay</v>
      </c>
      <c r="K866" s="129"/>
    </row>
    <row r="867" spans="7:11" x14ac:dyDescent="0.3">
      <c r="G867" s="12" t="s">
        <v>17</v>
      </c>
      <c r="H867" s="12" t="s">
        <v>369</v>
      </c>
      <c r="I867" s="12" t="s">
        <v>904</v>
      </c>
      <c r="J867" s="129" t="str">
        <f t="shared" si="38"/>
        <v>Satin Natural w/Inlay</v>
      </c>
      <c r="K867" s="129"/>
    </row>
    <row r="868" spans="7:11" x14ac:dyDescent="0.3">
      <c r="G868" s="12" t="s">
        <v>17</v>
      </c>
      <c r="H868" s="12" t="s">
        <v>369</v>
      </c>
      <c r="I868" s="12" t="s">
        <v>26</v>
      </c>
      <c r="J868" s="129" t="str">
        <f t="shared" si="38"/>
        <v>Satin Sable</v>
      </c>
      <c r="K868" s="129"/>
    </row>
    <row r="869" spans="7:11" x14ac:dyDescent="0.3">
      <c r="G869" s="12" t="s">
        <v>17</v>
      </c>
      <c r="H869" s="12" t="s">
        <v>369</v>
      </c>
      <c r="I869" s="12" t="s">
        <v>914</v>
      </c>
      <c r="J869" s="129" t="str">
        <f t="shared" si="38"/>
        <v>Satin Sable w/Accent</v>
      </c>
      <c r="K869" s="129"/>
    </row>
    <row r="870" spans="7:11" x14ac:dyDescent="0.3">
      <c r="G870" s="12" t="s">
        <v>17</v>
      </c>
      <c r="H870" s="12" t="s">
        <v>369</v>
      </c>
      <c r="I870" s="12" t="s">
        <v>321</v>
      </c>
      <c r="J870" s="129" t="str">
        <f t="shared" si="38"/>
        <v>Satin Natural</v>
      </c>
      <c r="K870" s="129"/>
    </row>
    <row r="871" spans="7:11" x14ac:dyDescent="0.3">
      <c r="G871" s="12" t="s">
        <v>17</v>
      </c>
      <c r="H871" s="12" t="s">
        <v>369</v>
      </c>
      <c r="I871" s="12" t="s">
        <v>912</v>
      </c>
      <c r="J871" s="129" t="str">
        <f t="shared" si="38"/>
        <v>Satin Natural w/Accent</v>
      </c>
      <c r="K871" s="129"/>
    </row>
    <row r="872" spans="7:11" x14ac:dyDescent="0.3">
      <c r="G872" s="12" t="s">
        <v>17</v>
      </c>
      <c r="H872" s="12" t="s">
        <v>369</v>
      </c>
      <c r="I872" s="12" t="s">
        <v>309</v>
      </c>
      <c r="J872" s="129" t="str">
        <f t="shared" si="38"/>
        <v>Natural Hoop</v>
      </c>
      <c r="K872" s="129"/>
    </row>
    <row r="873" spans="7:11" x14ac:dyDescent="0.3">
      <c r="G873" s="12" t="s">
        <v>17</v>
      </c>
      <c r="H873" s="12" t="s">
        <v>369</v>
      </c>
      <c r="I873" s="12" t="s">
        <v>907</v>
      </c>
      <c r="J873" s="129" t="str">
        <f t="shared" si="38"/>
        <v>Natural w/Inlay</v>
      </c>
      <c r="K873" s="129"/>
    </row>
    <row r="874" spans="7:11" x14ac:dyDescent="0.3">
      <c r="G874" s="12" t="s">
        <v>17</v>
      </c>
      <c r="H874" s="12" t="s">
        <v>369</v>
      </c>
      <c r="I874" s="12" t="s">
        <v>909</v>
      </c>
      <c r="J874" s="129" t="str">
        <f t="shared" si="38"/>
        <v>Natural w/Accent</v>
      </c>
      <c r="K874" s="129"/>
    </row>
    <row r="875" spans="7:11" x14ac:dyDescent="0.3">
      <c r="G875" s="12" t="s">
        <v>17</v>
      </c>
      <c r="H875" s="12" t="s">
        <v>369</v>
      </c>
      <c r="I875" s="12" t="s">
        <v>313</v>
      </c>
      <c r="J875" s="129" t="str">
        <f t="shared" si="38"/>
        <v>Sable Black</v>
      </c>
      <c r="K875" s="129"/>
    </row>
    <row r="876" spans="7:11" x14ac:dyDescent="0.3">
      <c r="G876" s="12" t="s">
        <v>19</v>
      </c>
      <c r="H876" s="12" t="s">
        <v>369</v>
      </c>
      <c r="I876" s="12" t="s">
        <v>902</v>
      </c>
      <c r="J876" s="129" t="str">
        <f t="shared" si="38"/>
        <v>Satin Sable w/Inlay</v>
      </c>
      <c r="K876" s="129"/>
    </row>
    <row r="877" spans="7:11" x14ac:dyDescent="0.3">
      <c r="G877" s="12" t="s">
        <v>19</v>
      </c>
      <c r="H877" s="12" t="s">
        <v>369</v>
      </c>
      <c r="I877" s="12" t="s">
        <v>904</v>
      </c>
      <c r="J877" s="129" t="str">
        <f t="shared" si="38"/>
        <v>Satin Natural w/Inlay</v>
      </c>
      <c r="K877" s="129"/>
    </row>
    <row r="878" spans="7:11" x14ac:dyDescent="0.3">
      <c r="G878" s="12" t="s">
        <v>19</v>
      </c>
      <c r="H878" s="12" t="s">
        <v>369</v>
      </c>
      <c r="I878" s="12" t="s">
        <v>26</v>
      </c>
      <c r="J878" s="129" t="str">
        <f t="shared" si="38"/>
        <v>Satin Sable</v>
      </c>
      <c r="K878" s="129"/>
    </row>
    <row r="879" spans="7:11" x14ac:dyDescent="0.3">
      <c r="G879" s="12" t="s">
        <v>19</v>
      </c>
      <c r="H879" s="12" t="s">
        <v>369</v>
      </c>
      <c r="I879" s="12" t="s">
        <v>914</v>
      </c>
      <c r="J879" s="129" t="str">
        <f t="shared" si="38"/>
        <v>Satin Sable w/Accent</v>
      </c>
      <c r="K879" s="129"/>
    </row>
    <row r="880" spans="7:11" x14ac:dyDescent="0.3">
      <c r="G880" s="12" t="s">
        <v>19</v>
      </c>
      <c r="H880" s="12" t="s">
        <v>369</v>
      </c>
      <c r="I880" s="12" t="s">
        <v>321</v>
      </c>
      <c r="J880" s="129" t="str">
        <f t="shared" si="38"/>
        <v>Satin Natural</v>
      </c>
      <c r="K880" s="129"/>
    </row>
    <row r="881" spans="7:11" x14ac:dyDescent="0.3">
      <c r="G881" s="12" t="s">
        <v>19</v>
      </c>
      <c r="H881" s="12" t="s">
        <v>369</v>
      </c>
      <c r="I881" s="12" t="s">
        <v>912</v>
      </c>
      <c r="J881" s="129" t="str">
        <f t="shared" si="38"/>
        <v>Satin Natural w/Accent</v>
      </c>
      <c r="K881" s="129"/>
    </row>
    <row r="882" spans="7:11" x14ac:dyDescent="0.3">
      <c r="G882" s="12" t="s">
        <v>19</v>
      </c>
      <c r="H882" s="12" t="s">
        <v>369</v>
      </c>
      <c r="I882" s="12" t="s">
        <v>309</v>
      </c>
      <c r="J882" s="129" t="str">
        <f t="shared" si="38"/>
        <v>Natural Hoop</v>
      </c>
      <c r="K882" s="129"/>
    </row>
    <row r="883" spans="7:11" x14ac:dyDescent="0.3">
      <c r="G883" s="12" t="s">
        <v>19</v>
      </c>
      <c r="H883" s="12" t="s">
        <v>369</v>
      </c>
      <c r="I883" s="12" t="s">
        <v>313</v>
      </c>
      <c r="J883" s="129" t="str">
        <f t="shared" si="38"/>
        <v>Sable Black</v>
      </c>
      <c r="K883" s="129"/>
    </row>
    <row r="884" spans="7:11" x14ac:dyDescent="0.3">
      <c r="G884" s="12" t="s">
        <v>15</v>
      </c>
      <c r="H884" s="12" t="s">
        <v>313</v>
      </c>
      <c r="I884" s="12" t="s">
        <v>60</v>
      </c>
      <c r="J884" s="129" t="str">
        <f t="shared" si="38"/>
        <v>Matching Hoop</v>
      </c>
      <c r="K884" s="129"/>
    </row>
    <row r="885" spans="7:11" x14ac:dyDescent="0.3">
      <c r="G885" s="12" t="s">
        <v>15</v>
      </c>
      <c r="H885" s="12" t="s">
        <v>313</v>
      </c>
      <c r="I885" s="12" t="s">
        <v>309</v>
      </c>
      <c r="J885" s="129" t="str">
        <f t="shared" si="38"/>
        <v>Natural Hoop</v>
      </c>
      <c r="K885" s="129"/>
    </row>
    <row r="886" spans="7:11" x14ac:dyDescent="0.3">
      <c r="G886" s="16" t="s">
        <v>16</v>
      </c>
      <c r="H886" s="12" t="s">
        <v>313</v>
      </c>
      <c r="I886" s="12" t="s">
        <v>60</v>
      </c>
      <c r="J886" s="129" t="str">
        <f t="shared" si="38"/>
        <v>Matching Hoop</v>
      </c>
      <c r="K886" s="129"/>
    </row>
    <row r="887" spans="7:11" x14ac:dyDescent="0.3">
      <c r="G887" s="16" t="s">
        <v>16</v>
      </c>
      <c r="H887" s="12" t="s">
        <v>313</v>
      </c>
      <c r="I887" s="12" t="s">
        <v>309</v>
      </c>
      <c r="J887" s="129" t="str">
        <f t="shared" si="38"/>
        <v>Natural Hoop</v>
      </c>
      <c r="K887" s="129"/>
    </row>
    <row r="888" spans="7:11" x14ac:dyDescent="0.3">
      <c r="G888" s="12" t="s">
        <v>15</v>
      </c>
      <c r="H888" s="12" t="s">
        <v>315</v>
      </c>
      <c r="I888" s="12" t="s">
        <v>60</v>
      </c>
      <c r="J888" s="129" t="str">
        <f t="shared" si="38"/>
        <v>Matching Hoop</v>
      </c>
      <c r="K888" s="129"/>
    </row>
    <row r="889" spans="7:11" x14ac:dyDescent="0.3">
      <c r="G889" s="12" t="s">
        <v>15</v>
      </c>
      <c r="H889" s="12" t="s">
        <v>315</v>
      </c>
      <c r="I889" s="105" t="s">
        <v>1259</v>
      </c>
      <c r="J889" s="129" t="str">
        <f t="shared" si="38"/>
        <v>Matching Hoop w/Accent</v>
      </c>
      <c r="K889" s="129"/>
    </row>
    <row r="890" spans="7:11" x14ac:dyDescent="0.3">
      <c r="G890" s="12" t="s">
        <v>15</v>
      </c>
      <c r="H890" s="12" t="s">
        <v>315</v>
      </c>
      <c r="I890" s="12" t="s">
        <v>321</v>
      </c>
      <c r="J890" s="129" t="str">
        <f t="shared" si="38"/>
        <v>Satin Natural</v>
      </c>
      <c r="K890" s="129"/>
    </row>
    <row r="891" spans="7:11" x14ac:dyDescent="0.3">
      <c r="G891" s="16" t="s">
        <v>16</v>
      </c>
      <c r="H891" s="12" t="s">
        <v>315</v>
      </c>
      <c r="I891" s="12" t="s">
        <v>60</v>
      </c>
      <c r="J891" s="129" t="str">
        <f t="shared" si="38"/>
        <v>Matching Hoop</v>
      </c>
      <c r="K891" s="129"/>
    </row>
    <row r="892" spans="7:11" x14ac:dyDescent="0.3">
      <c r="G892" s="16" t="s">
        <v>16</v>
      </c>
      <c r="H892" s="12" t="s">
        <v>315</v>
      </c>
      <c r="I892" s="105" t="s">
        <v>1259</v>
      </c>
      <c r="J892" s="129" t="str">
        <f t="shared" si="38"/>
        <v>Matching Hoop w/Accent</v>
      </c>
      <c r="K892" s="129"/>
    </row>
    <row r="893" spans="7:11" x14ac:dyDescent="0.3">
      <c r="G893" s="16" t="s">
        <v>16</v>
      </c>
      <c r="H893" s="12" t="s">
        <v>315</v>
      </c>
      <c r="I893" s="12" t="s">
        <v>321</v>
      </c>
      <c r="J893" s="129" t="str">
        <f t="shared" si="38"/>
        <v>Satin Natural</v>
      </c>
      <c r="K893" s="129"/>
    </row>
    <row r="894" spans="7:11" x14ac:dyDescent="0.3">
      <c r="G894" s="12" t="s">
        <v>15</v>
      </c>
      <c r="H894" s="12" t="s">
        <v>317</v>
      </c>
      <c r="I894" s="12" t="s">
        <v>60</v>
      </c>
      <c r="J894" s="129" t="str">
        <f t="shared" si="38"/>
        <v>Matching Hoop</v>
      </c>
      <c r="K894" s="129"/>
    </row>
    <row r="895" spans="7:11" x14ac:dyDescent="0.3">
      <c r="G895" s="12" t="s">
        <v>15</v>
      </c>
      <c r="H895" s="12" t="s">
        <v>317</v>
      </c>
      <c r="I895" s="105" t="s">
        <v>1259</v>
      </c>
      <c r="J895" s="129" t="str">
        <f t="shared" si="38"/>
        <v>Matching Hoop w/Accent</v>
      </c>
      <c r="K895" s="129"/>
    </row>
    <row r="896" spans="7:11" x14ac:dyDescent="0.3">
      <c r="G896" s="12" t="s">
        <v>15</v>
      </c>
      <c r="H896" s="12" t="s">
        <v>317</v>
      </c>
      <c r="I896" s="12" t="s">
        <v>321</v>
      </c>
      <c r="J896" s="129" t="str">
        <f t="shared" si="38"/>
        <v>Satin Natural</v>
      </c>
      <c r="K896" s="129"/>
    </row>
    <row r="897" spans="7:11" x14ac:dyDescent="0.3">
      <c r="G897" s="16" t="s">
        <v>16</v>
      </c>
      <c r="H897" s="12" t="s">
        <v>317</v>
      </c>
      <c r="I897" s="12" t="s">
        <v>60</v>
      </c>
      <c r="J897" s="129" t="str">
        <f t="shared" si="38"/>
        <v>Matching Hoop</v>
      </c>
      <c r="K897" s="129"/>
    </row>
    <row r="898" spans="7:11" x14ac:dyDescent="0.3">
      <c r="G898" s="16" t="s">
        <v>16</v>
      </c>
      <c r="H898" s="12" t="s">
        <v>317</v>
      </c>
      <c r="I898" s="105" t="s">
        <v>1259</v>
      </c>
      <c r="J898" s="129" t="str">
        <f t="shared" si="38"/>
        <v>Matching Hoop w/Accent</v>
      </c>
      <c r="K898" s="129"/>
    </row>
    <row r="899" spans="7:11" x14ac:dyDescent="0.3">
      <c r="G899" s="16" t="s">
        <v>16</v>
      </c>
      <c r="H899" s="12" t="s">
        <v>317</v>
      </c>
      <c r="I899" s="12" t="s">
        <v>321</v>
      </c>
      <c r="J899" s="129" t="str">
        <f t="shared" si="38"/>
        <v>Satin Natural</v>
      </c>
      <c r="K899" s="129"/>
    </row>
    <row r="900" spans="7:11" x14ac:dyDescent="0.3">
      <c r="G900" s="12" t="s">
        <v>15</v>
      </c>
      <c r="H900" s="12" t="s">
        <v>319</v>
      </c>
      <c r="I900" s="12" t="s">
        <v>60</v>
      </c>
      <c r="J900" s="129" t="str">
        <f t="shared" si="38"/>
        <v>Matching Hoop</v>
      </c>
      <c r="K900" s="129"/>
    </row>
    <row r="901" spans="7:11" x14ac:dyDescent="0.3">
      <c r="G901" s="12" t="s">
        <v>15</v>
      </c>
      <c r="H901" s="12" t="s">
        <v>319</v>
      </c>
      <c r="I901" s="105" t="s">
        <v>1259</v>
      </c>
      <c r="J901" s="129" t="str">
        <f t="shared" si="38"/>
        <v>Matching Hoop w/Accent</v>
      </c>
      <c r="K901" s="129"/>
    </row>
    <row r="902" spans="7:11" x14ac:dyDescent="0.3">
      <c r="G902" s="12" t="s">
        <v>15</v>
      </c>
      <c r="H902" s="12" t="s">
        <v>319</v>
      </c>
      <c r="I902" s="12" t="s">
        <v>321</v>
      </c>
      <c r="J902" s="129" t="str">
        <f t="shared" si="38"/>
        <v>Satin Natural</v>
      </c>
      <c r="K902" s="129"/>
    </row>
    <row r="903" spans="7:11" x14ac:dyDescent="0.3">
      <c r="G903" s="16" t="s">
        <v>16</v>
      </c>
      <c r="H903" s="12" t="s">
        <v>319</v>
      </c>
      <c r="I903" s="12" t="s">
        <v>60</v>
      </c>
      <c r="J903" s="129" t="str">
        <f t="shared" si="38"/>
        <v>Matching Hoop</v>
      </c>
      <c r="K903" s="129"/>
    </row>
    <row r="904" spans="7:11" x14ac:dyDescent="0.3">
      <c r="G904" s="16" t="s">
        <v>16</v>
      </c>
      <c r="H904" s="12" t="s">
        <v>319</v>
      </c>
      <c r="I904" s="105" t="s">
        <v>1259</v>
      </c>
      <c r="J904" s="129" t="str">
        <f t="shared" si="38"/>
        <v>Matching Hoop w/Accent</v>
      </c>
      <c r="K904" s="129"/>
    </row>
    <row r="905" spans="7:11" x14ac:dyDescent="0.3">
      <c r="G905" s="16" t="s">
        <v>16</v>
      </c>
      <c r="H905" s="12" t="s">
        <v>319</v>
      </c>
      <c r="I905" s="12" t="s">
        <v>321</v>
      </c>
      <c r="J905" s="129" t="str">
        <f t="shared" si="38"/>
        <v>Satin Natural</v>
      </c>
      <c r="K905" s="129"/>
    </row>
    <row r="906" spans="7:11" x14ac:dyDescent="0.3">
      <c r="G906" s="12" t="s">
        <v>15</v>
      </c>
      <c r="H906" s="12" t="s">
        <v>321</v>
      </c>
      <c r="I906" s="12" t="s">
        <v>60</v>
      </c>
      <c r="J906" s="129" t="str">
        <f t="shared" si="38"/>
        <v>Matching Hoop</v>
      </c>
      <c r="K906" s="129"/>
    </row>
    <row r="907" spans="7:11" x14ac:dyDescent="0.3">
      <c r="G907" s="12" t="s">
        <v>15</v>
      </c>
      <c r="H907" s="12" t="s">
        <v>321</v>
      </c>
      <c r="I907" s="105" t="s">
        <v>1259</v>
      </c>
      <c r="J907" s="129" t="str">
        <f t="shared" si="38"/>
        <v>Matching Hoop w/Accent</v>
      </c>
      <c r="K907" s="129"/>
    </row>
    <row r="908" spans="7:11" x14ac:dyDescent="0.3">
      <c r="G908" s="16" t="s">
        <v>16</v>
      </c>
      <c r="H908" s="12" t="s">
        <v>321</v>
      </c>
      <c r="I908" s="12" t="s">
        <v>60</v>
      </c>
      <c r="J908" s="129" t="str">
        <f t="shared" si="38"/>
        <v>Matching Hoop</v>
      </c>
      <c r="K908" s="129"/>
    </row>
    <row r="909" spans="7:11" x14ac:dyDescent="0.3">
      <c r="G909" s="16" t="s">
        <v>16</v>
      </c>
      <c r="H909" s="12" t="s">
        <v>321</v>
      </c>
      <c r="I909" s="105" t="s">
        <v>1259</v>
      </c>
      <c r="J909" s="129" t="str">
        <f t="shared" si="38"/>
        <v>Matching Hoop w/Accent</v>
      </c>
      <c r="K909" s="129"/>
    </row>
    <row r="910" spans="7:11" x14ac:dyDescent="0.3">
      <c r="G910" s="12" t="s">
        <v>15</v>
      </c>
      <c r="H910" s="12" t="s">
        <v>371</v>
      </c>
      <c r="I910" s="12" t="s">
        <v>902</v>
      </c>
      <c r="J910" s="129" t="str">
        <f t="shared" si="38"/>
        <v>Satin Sable w/Inlay</v>
      </c>
      <c r="K910" s="129"/>
    </row>
    <row r="911" spans="7:11" x14ac:dyDescent="0.3">
      <c r="G911" s="12" t="s">
        <v>15</v>
      </c>
      <c r="H911" s="12" t="s">
        <v>371</v>
      </c>
      <c r="I911" s="12" t="s">
        <v>904</v>
      </c>
      <c r="J911" s="129" t="str">
        <f t="shared" si="38"/>
        <v>Satin Natural w/Inlay</v>
      </c>
      <c r="K911" s="129"/>
    </row>
    <row r="912" spans="7:11" x14ac:dyDescent="0.3">
      <c r="G912" s="12" t="s">
        <v>15</v>
      </c>
      <c r="H912" s="12" t="s">
        <v>371</v>
      </c>
      <c r="I912" s="12" t="s">
        <v>26</v>
      </c>
      <c r="J912" s="129" t="str">
        <f t="shared" si="38"/>
        <v>Satin Sable</v>
      </c>
      <c r="K912" s="129"/>
    </row>
    <row r="913" spans="7:11" x14ac:dyDescent="0.3">
      <c r="G913" s="12" t="s">
        <v>15</v>
      </c>
      <c r="H913" s="12" t="s">
        <v>371</v>
      </c>
      <c r="I913" s="12" t="s">
        <v>914</v>
      </c>
      <c r="J913" s="129" t="str">
        <f t="shared" si="38"/>
        <v>Satin Sable w/Accent</v>
      </c>
      <c r="K913" s="129"/>
    </row>
    <row r="914" spans="7:11" x14ac:dyDescent="0.3">
      <c r="G914" s="12" t="s">
        <v>15</v>
      </c>
      <c r="H914" s="12" t="s">
        <v>371</v>
      </c>
      <c r="I914" s="12" t="s">
        <v>321</v>
      </c>
      <c r="J914" s="129" t="str">
        <f t="shared" si="38"/>
        <v>Satin Natural</v>
      </c>
      <c r="K914" s="129"/>
    </row>
    <row r="915" spans="7:11" x14ac:dyDescent="0.3">
      <c r="G915" s="12" t="s">
        <v>15</v>
      </c>
      <c r="H915" s="12" t="s">
        <v>371</v>
      </c>
      <c r="I915" s="12" t="s">
        <v>912</v>
      </c>
      <c r="J915" s="129" t="str">
        <f t="shared" si="38"/>
        <v>Satin Natural w/Accent</v>
      </c>
      <c r="K915" s="129"/>
    </row>
    <row r="916" spans="7:11" x14ac:dyDescent="0.3">
      <c r="G916" s="12" t="s">
        <v>15</v>
      </c>
      <c r="H916" s="12" t="s">
        <v>371</v>
      </c>
      <c r="I916" s="12" t="s">
        <v>309</v>
      </c>
      <c r="J916" s="129" t="str">
        <f t="shared" ref="J916:J979" si="39">INDEX($C$3:$C$15,MATCH(I916,$B$3:$B$15,0))</f>
        <v>Natural Hoop</v>
      </c>
      <c r="K916" s="129"/>
    </row>
    <row r="917" spans="7:11" x14ac:dyDescent="0.3">
      <c r="G917" s="12" t="s">
        <v>15</v>
      </c>
      <c r="H917" s="12" t="s">
        <v>371</v>
      </c>
      <c r="I917" s="12" t="s">
        <v>907</v>
      </c>
      <c r="J917" s="129" t="str">
        <f t="shared" si="39"/>
        <v>Natural w/Inlay</v>
      </c>
      <c r="K917" s="129"/>
    </row>
    <row r="918" spans="7:11" x14ac:dyDescent="0.3">
      <c r="G918" s="12" t="s">
        <v>15</v>
      </c>
      <c r="H918" s="12" t="s">
        <v>371</v>
      </c>
      <c r="I918" s="12" t="s">
        <v>909</v>
      </c>
      <c r="J918" s="129" t="str">
        <f t="shared" si="39"/>
        <v>Natural w/Accent</v>
      </c>
      <c r="K918" s="129"/>
    </row>
    <row r="919" spans="7:11" x14ac:dyDescent="0.3">
      <c r="G919" s="12" t="s">
        <v>15</v>
      </c>
      <c r="H919" s="12" t="s">
        <v>371</v>
      </c>
      <c r="I919" s="12" t="s">
        <v>313</v>
      </c>
      <c r="J919" s="129" t="str">
        <f t="shared" si="39"/>
        <v>Sable Black</v>
      </c>
      <c r="K919" s="129"/>
    </row>
    <row r="920" spans="7:11" x14ac:dyDescent="0.3">
      <c r="G920" s="12" t="s">
        <v>16</v>
      </c>
      <c r="H920" s="12" t="s">
        <v>371</v>
      </c>
      <c r="I920" s="12" t="s">
        <v>902</v>
      </c>
      <c r="J920" s="129" t="str">
        <f t="shared" si="39"/>
        <v>Satin Sable w/Inlay</v>
      </c>
      <c r="K920" s="129"/>
    </row>
    <row r="921" spans="7:11" x14ac:dyDescent="0.3">
      <c r="G921" s="12" t="s">
        <v>16</v>
      </c>
      <c r="H921" s="12" t="s">
        <v>371</v>
      </c>
      <c r="I921" s="12" t="s">
        <v>904</v>
      </c>
      <c r="J921" s="129" t="str">
        <f t="shared" si="39"/>
        <v>Satin Natural w/Inlay</v>
      </c>
      <c r="K921" s="129"/>
    </row>
    <row r="922" spans="7:11" x14ac:dyDescent="0.3">
      <c r="G922" s="12" t="s">
        <v>16</v>
      </c>
      <c r="H922" s="12" t="s">
        <v>371</v>
      </c>
      <c r="I922" s="12" t="s">
        <v>26</v>
      </c>
      <c r="J922" s="129" t="str">
        <f t="shared" si="39"/>
        <v>Satin Sable</v>
      </c>
      <c r="K922" s="129"/>
    </row>
    <row r="923" spans="7:11" x14ac:dyDescent="0.3">
      <c r="G923" s="12" t="s">
        <v>16</v>
      </c>
      <c r="H923" s="12" t="s">
        <v>371</v>
      </c>
      <c r="I923" s="12" t="s">
        <v>914</v>
      </c>
      <c r="J923" s="129" t="str">
        <f t="shared" si="39"/>
        <v>Satin Sable w/Accent</v>
      </c>
      <c r="K923" s="129"/>
    </row>
    <row r="924" spans="7:11" x14ac:dyDescent="0.3">
      <c r="G924" s="12" t="s">
        <v>16</v>
      </c>
      <c r="H924" s="12" t="s">
        <v>371</v>
      </c>
      <c r="I924" s="12" t="s">
        <v>321</v>
      </c>
      <c r="J924" s="129" t="str">
        <f t="shared" si="39"/>
        <v>Satin Natural</v>
      </c>
      <c r="K924" s="129"/>
    </row>
    <row r="925" spans="7:11" x14ac:dyDescent="0.3">
      <c r="G925" s="12" t="s">
        <v>16</v>
      </c>
      <c r="H925" s="12" t="s">
        <v>371</v>
      </c>
      <c r="I925" s="12" t="s">
        <v>912</v>
      </c>
      <c r="J925" s="129" t="str">
        <f t="shared" si="39"/>
        <v>Satin Natural w/Accent</v>
      </c>
      <c r="K925" s="129"/>
    </row>
    <row r="926" spans="7:11" x14ac:dyDescent="0.3">
      <c r="G926" s="12" t="s">
        <v>16</v>
      </c>
      <c r="H926" s="12" t="s">
        <v>371</v>
      </c>
      <c r="I926" s="12" t="s">
        <v>309</v>
      </c>
      <c r="J926" s="129" t="str">
        <f t="shared" si="39"/>
        <v>Natural Hoop</v>
      </c>
      <c r="K926" s="129"/>
    </row>
    <row r="927" spans="7:11" x14ac:dyDescent="0.3">
      <c r="G927" s="12" t="s">
        <v>16</v>
      </c>
      <c r="H927" s="12" t="s">
        <v>371</v>
      </c>
      <c r="I927" s="12" t="s">
        <v>907</v>
      </c>
      <c r="J927" s="129" t="str">
        <f t="shared" si="39"/>
        <v>Natural w/Inlay</v>
      </c>
      <c r="K927" s="129"/>
    </row>
    <row r="928" spans="7:11" x14ac:dyDescent="0.3">
      <c r="G928" s="12" t="s">
        <v>16</v>
      </c>
      <c r="H928" s="12" t="s">
        <v>371</v>
      </c>
      <c r="I928" s="12" t="s">
        <v>909</v>
      </c>
      <c r="J928" s="129" t="str">
        <f t="shared" si="39"/>
        <v>Natural w/Accent</v>
      </c>
      <c r="K928" s="129"/>
    </row>
    <row r="929" spans="7:11" x14ac:dyDescent="0.3">
      <c r="G929" s="12" t="s">
        <v>16</v>
      </c>
      <c r="H929" s="12" t="s">
        <v>371</v>
      </c>
      <c r="I929" s="12" t="s">
        <v>313</v>
      </c>
      <c r="J929" s="129" t="str">
        <f t="shared" si="39"/>
        <v>Sable Black</v>
      </c>
      <c r="K929" s="129"/>
    </row>
    <row r="930" spans="7:11" x14ac:dyDescent="0.3">
      <c r="G930" s="12" t="s">
        <v>17</v>
      </c>
      <c r="H930" s="12" t="s">
        <v>371</v>
      </c>
      <c r="I930" s="12" t="s">
        <v>902</v>
      </c>
      <c r="J930" s="129" t="str">
        <f t="shared" si="39"/>
        <v>Satin Sable w/Inlay</v>
      </c>
      <c r="K930" s="129"/>
    </row>
    <row r="931" spans="7:11" x14ac:dyDescent="0.3">
      <c r="G931" s="12" t="s">
        <v>17</v>
      </c>
      <c r="H931" s="12" t="s">
        <v>371</v>
      </c>
      <c r="I931" s="12" t="s">
        <v>904</v>
      </c>
      <c r="J931" s="129" t="str">
        <f t="shared" si="39"/>
        <v>Satin Natural w/Inlay</v>
      </c>
      <c r="K931" s="129"/>
    </row>
    <row r="932" spans="7:11" x14ac:dyDescent="0.3">
      <c r="G932" s="12" t="s">
        <v>17</v>
      </c>
      <c r="H932" s="12" t="s">
        <v>371</v>
      </c>
      <c r="I932" s="12" t="s">
        <v>26</v>
      </c>
      <c r="J932" s="129" t="str">
        <f t="shared" si="39"/>
        <v>Satin Sable</v>
      </c>
      <c r="K932" s="129"/>
    </row>
    <row r="933" spans="7:11" x14ac:dyDescent="0.3">
      <c r="G933" s="12" t="s">
        <v>17</v>
      </c>
      <c r="H933" s="12" t="s">
        <v>371</v>
      </c>
      <c r="I933" s="12" t="s">
        <v>914</v>
      </c>
      <c r="J933" s="129" t="str">
        <f t="shared" si="39"/>
        <v>Satin Sable w/Accent</v>
      </c>
      <c r="K933" s="129"/>
    </row>
    <row r="934" spans="7:11" x14ac:dyDescent="0.3">
      <c r="G934" s="12" t="s">
        <v>17</v>
      </c>
      <c r="H934" s="12" t="s">
        <v>371</v>
      </c>
      <c r="I934" s="12" t="s">
        <v>321</v>
      </c>
      <c r="J934" s="129" t="str">
        <f t="shared" si="39"/>
        <v>Satin Natural</v>
      </c>
      <c r="K934" s="129"/>
    </row>
    <row r="935" spans="7:11" x14ac:dyDescent="0.3">
      <c r="G935" s="12" t="s">
        <v>17</v>
      </c>
      <c r="H935" s="12" t="s">
        <v>371</v>
      </c>
      <c r="I935" s="12" t="s">
        <v>912</v>
      </c>
      <c r="J935" s="129" t="str">
        <f t="shared" si="39"/>
        <v>Satin Natural w/Accent</v>
      </c>
      <c r="K935" s="129"/>
    </row>
    <row r="936" spans="7:11" x14ac:dyDescent="0.3">
      <c r="G936" s="12" t="s">
        <v>17</v>
      </c>
      <c r="H936" s="12" t="s">
        <v>371</v>
      </c>
      <c r="I936" s="12" t="s">
        <v>309</v>
      </c>
      <c r="J936" s="129" t="str">
        <f t="shared" si="39"/>
        <v>Natural Hoop</v>
      </c>
      <c r="K936" s="129"/>
    </row>
    <row r="937" spans="7:11" x14ac:dyDescent="0.3">
      <c r="G937" s="12" t="s">
        <v>17</v>
      </c>
      <c r="H937" s="12" t="s">
        <v>371</v>
      </c>
      <c r="I937" s="12" t="s">
        <v>907</v>
      </c>
      <c r="J937" s="129" t="str">
        <f t="shared" si="39"/>
        <v>Natural w/Inlay</v>
      </c>
      <c r="K937" s="129"/>
    </row>
    <row r="938" spans="7:11" x14ac:dyDescent="0.3">
      <c r="G938" s="12" t="s">
        <v>17</v>
      </c>
      <c r="H938" s="12" t="s">
        <v>371</v>
      </c>
      <c r="I938" s="12" t="s">
        <v>909</v>
      </c>
      <c r="J938" s="129" t="str">
        <f t="shared" si="39"/>
        <v>Natural w/Accent</v>
      </c>
      <c r="K938" s="129"/>
    </row>
    <row r="939" spans="7:11" x14ac:dyDescent="0.3">
      <c r="G939" s="12" t="s">
        <v>17</v>
      </c>
      <c r="H939" s="12" t="s">
        <v>371</v>
      </c>
      <c r="I939" s="12" t="s">
        <v>313</v>
      </c>
      <c r="J939" s="129" t="str">
        <f t="shared" si="39"/>
        <v>Sable Black</v>
      </c>
      <c r="K939" s="129"/>
    </row>
    <row r="940" spans="7:11" x14ac:dyDescent="0.3">
      <c r="G940" s="12" t="s">
        <v>19</v>
      </c>
      <c r="H940" s="12" t="s">
        <v>371</v>
      </c>
      <c r="I940" s="12" t="s">
        <v>902</v>
      </c>
      <c r="J940" s="129" t="str">
        <f t="shared" si="39"/>
        <v>Satin Sable w/Inlay</v>
      </c>
      <c r="K940" s="129"/>
    </row>
    <row r="941" spans="7:11" x14ac:dyDescent="0.3">
      <c r="G941" s="12" t="s">
        <v>19</v>
      </c>
      <c r="H941" s="12" t="s">
        <v>371</v>
      </c>
      <c r="I941" s="12" t="s">
        <v>904</v>
      </c>
      <c r="J941" s="129" t="str">
        <f t="shared" si="39"/>
        <v>Satin Natural w/Inlay</v>
      </c>
      <c r="K941" s="129"/>
    </row>
    <row r="942" spans="7:11" x14ac:dyDescent="0.3">
      <c r="G942" s="12" t="s">
        <v>19</v>
      </c>
      <c r="H942" s="12" t="s">
        <v>371</v>
      </c>
      <c r="I942" s="12" t="s">
        <v>26</v>
      </c>
      <c r="J942" s="129" t="str">
        <f t="shared" si="39"/>
        <v>Satin Sable</v>
      </c>
      <c r="K942" s="129"/>
    </row>
    <row r="943" spans="7:11" x14ac:dyDescent="0.3">
      <c r="G943" s="12" t="s">
        <v>19</v>
      </c>
      <c r="H943" s="12" t="s">
        <v>371</v>
      </c>
      <c r="I943" s="12" t="s">
        <v>914</v>
      </c>
      <c r="J943" s="129" t="str">
        <f t="shared" si="39"/>
        <v>Satin Sable w/Accent</v>
      </c>
      <c r="K943" s="129"/>
    </row>
    <row r="944" spans="7:11" x14ac:dyDescent="0.3">
      <c r="G944" s="12" t="s">
        <v>19</v>
      </c>
      <c r="H944" s="12" t="s">
        <v>371</v>
      </c>
      <c r="I944" s="12" t="s">
        <v>321</v>
      </c>
      <c r="J944" s="129" t="str">
        <f t="shared" si="39"/>
        <v>Satin Natural</v>
      </c>
      <c r="K944" s="129"/>
    </row>
    <row r="945" spans="7:11" x14ac:dyDescent="0.3">
      <c r="G945" s="12" t="s">
        <v>19</v>
      </c>
      <c r="H945" s="12" t="s">
        <v>371</v>
      </c>
      <c r="I945" s="12" t="s">
        <v>912</v>
      </c>
      <c r="J945" s="129" t="str">
        <f t="shared" si="39"/>
        <v>Satin Natural w/Accent</v>
      </c>
      <c r="K945" s="129"/>
    </row>
    <row r="946" spans="7:11" x14ac:dyDescent="0.3">
      <c r="G946" s="12" t="s">
        <v>19</v>
      </c>
      <c r="H946" s="12" t="s">
        <v>371</v>
      </c>
      <c r="I946" s="12" t="s">
        <v>309</v>
      </c>
      <c r="J946" s="129" t="str">
        <f t="shared" si="39"/>
        <v>Natural Hoop</v>
      </c>
      <c r="K946" s="129"/>
    </row>
    <row r="947" spans="7:11" x14ac:dyDescent="0.3">
      <c r="G947" s="12" t="s">
        <v>19</v>
      </c>
      <c r="H947" s="12" t="s">
        <v>371</v>
      </c>
      <c r="I947" s="12" t="s">
        <v>313</v>
      </c>
      <c r="J947" s="129" t="str">
        <f t="shared" si="39"/>
        <v>Sable Black</v>
      </c>
      <c r="K947" s="129"/>
    </row>
    <row r="948" spans="7:11" x14ac:dyDescent="0.3">
      <c r="G948" s="12" t="s">
        <v>15</v>
      </c>
      <c r="H948" s="12" t="s">
        <v>373</v>
      </c>
      <c r="I948" s="12" t="s">
        <v>902</v>
      </c>
      <c r="J948" s="129" t="str">
        <f t="shared" si="39"/>
        <v>Satin Sable w/Inlay</v>
      </c>
      <c r="K948" s="129"/>
    </row>
    <row r="949" spans="7:11" x14ac:dyDescent="0.3">
      <c r="G949" s="12" t="s">
        <v>15</v>
      </c>
      <c r="H949" s="12" t="s">
        <v>373</v>
      </c>
      <c r="I949" s="12" t="s">
        <v>904</v>
      </c>
      <c r="J949" s="129" t="str">
        <f t="shared" si="39"/>
        <v>Satin Natural w/Inlay</v>
      </c>
      <c r="K949" s="129"/>
    </row>
    <row r="950" spans="7:11" x14ac:dyDescent="0.3">
      <c r="G950" s="12" t="s">
        <v>15</v>
      </c>
      <c r="H950" s="12" t="s">
        <v>373</v>
      </c>
      <c r="I950" s="12" t="s">
        <v>26</v>
      </c>
      <c r="J950" s="129" t="str">
        <f t="shared" si="39"/>
        <v>Satin Sable</v>
      </c>
      <c r="K950" s="129"/>
    </row>
    <row r="951" spans="7:11" x14ac:dyDescent="0.3">
      <c r="G951" s="12" t="s">
        <v>15</v>
      </c>
      <c r="H951" s="12" t="s">
        <v>373</v>
      </c>
      <c r="I951" s="12" t="s">
        <v>914</v>
      </c>
      <c r="J951" s="129" t="str">
        <f t="shared" si="39"/>
        <v>Satin Sable w/Accent</v>
      </c>
      <c r="K951" s="129"/>
    </row>
    <row r="952" spans="7:11" x14ac:dyDescent="0.3">
      <c r="G952" s="12" t="s">
        <v>15</v>
      </c>
      <c r="H952" s="12" t="s">
        <v>373</v>
      </c>
      <c r="I952" s="12" t="s">
        <v>321</v>
      </c>
      <c r="J952" s="129" t="str">
        <f t="shared" si="39"/>
        <v>Satin Natural</v>
      </c>
      <c r="K952" s="129"/>
    </row>
    <row r="953" spans="7:11" x14ac:dyDescent="0.3">
      <c r="G953" s="12" t="s">
        <v>15</v>
      </c>
      <c r="H953" s="12" t="s">
        <v>373</v>
      </c>
      <c r="I953" s="12" t="s">
        <v>912</v>
      </c>
      <c r="J953" s="129" t="str">
        <f t="shared" si="39"/>
        <v>Satin Natural w/Accent</v>
      </c>
      <c r="K953" s="129"/>
    </row>
    <row r="954" spans="7:11" x14ac:dyDescent="0.3">
      <c r="G954" s="12" t="s">
        <v>15</v>
      </c>
      <c r="H954" s="12" t="s">
        <v>373</v>
      </c>
      <c r="I954" s="12" t="s">
        <v>309</v>
      </c>
      <c r="J954" s="129" t="str">
        <f t="shared" si="39"/>
        <v>Natural Hoop</v>
      </c>
      <c r="K954" s="129"/>
    </row>
    <row r="955" spans="7:11" x14ac:dyDescent="0.3">
      <c r="G955" s="12" t="s">
        <v>15</v>
      </c>
      <c r="H955" s="12" t="s">
        <v>373</v>
      </c>
      <c r="I955" s="12" t="s">
        <v>907</v>
      </c>
      <c r="J955" s="129" t="str">
        <f t="shared" si="39"/>
        <v>Natural w/Inlay</v>
      </c>
      <c r="K955" s="129"/>
    </row>
    <row r="956" spans="7:11" x14ac:dyDescent="0.3">
      <c r="G956" s="12" t="s">
        <v>15</v>
      </c>
      <c r="H956" s="12" t="s">
        <v>373</v>
      </c>
      <c r="I956" s="12" t="s">
        <v>909</v>
      </c>
      <c r="J956" s="129" t="str">
        <f t="shared" si="39"/>
        <v>Natural w/Accent</v>
      </c>
      <c r="K956" s="129"/>
    </row>
    <row r="957" spans="7:11" x14ac:dyDescent="0.3">
      <c r="G957" s="12" t="s">
        <v>15</v>
      </c>
      <c r="H957" s="12" t="s">
        <v>373</v>
      </c>
      <c r="I957" s="12" t="s">
        <v>313</v>
      </c>
      <c r="J957" s="129" t="str">
        <f t="shared" si="39"/>
        <v>Sable Black</v>
      </c>
      <c r="K957" s="129"/>
    </row>
    <row r="958" spans="7:11" x14ac:dyDescent="0.3">
      <c r="G958" s="12" t="s">
        <v>16</v>
      </c>
      <c r="H958" s="12" t="s">
        <v>373</v>
      </c>
      <c r="I958" s="12" t="s">
        <v>902</v>
      </c>
      <c r="J958" s="129" t="str">
        <f t="shared" si="39"/>
        <v>Satin Sable w/Inlay</v>
      </c>
      <c r="K958" s="129"/>
    </row>
    <row r="959" spans="7:11" x14ac:dyDescent="0.3">
      <c r="G959" s="12" t="s">
        <v>16</v>
      </c>
      <c r="H959" s="12" t="s">
        <v>373</v>
      </c>
      <c r="I959" s="12" t="s">
        <v>904</v>
      </c>
      <c r="J959" s="129" t="str">
        <f t="shared" si="39"/>
        <v>Satin Natural w/Inlay</v>
      </c>
      <c r="K959" s="129"/>
    </row>
    <row r="960" spans="7:11" x14ac:dyDescent="0.3">
      <c r="G960" s="12" t="s">
        <v>16</v>
      </c>
      <c r="H960" s="12" t="s">
        <v>373</v>
      </c>
      <c r="I960" s="12" t="s">
        <v>26</v>
      </c>
      <c r="J960" s="129" t="str">
        <f t="shared" si="39"/>
        <v>Satin Sable</v>
      </c>
      <c r="K960" s="129"/>
    </row>
    <row r="961" spans="7:11" x14ac:dyDescent="0.3">
      <c r="G961" s="12" t="s">
        <v>16</v>
      </c>
      <c r="H961" s="12" t="s">
        <v>373</v>
      </c>
      <c r="I961" s="12" t="s">
        <v>914</v>
      </c>
      <c r="J961" s="129" t="str">
        <f t="shared" si="39"/>
        <v>Satin Sable w/Accent</v>
      </c>
      <c r="K961" s="129"/>
    </row>
    <row r="962" spans="7:11" x14ac:dyDescent="0.3">
      <c r="G962" s="12" t="s">
        <v>16</v>
      </c>
      <c r="H962" s="12" t="s">
        <v>373</v>
      </c>
      <c r="I962" s="12" t="s">
        <v>321</v>
      </c>
      <c r="J962" s="129" t="str">
        <f t="shared" si="39"/>
        <v>Satin Natural</v>
      </c>
      <c r="K962" s="129"/>
    </row>
    <row r="963" spans="7:11" x14ac:dyDescent="0.3">
      <c r="G963" s="12" t="s">
        <v>16</v>
      </c>
      <c r="H963" s="12" t="s">
        <v>373</v>
      </c>
      <c r="I963" s="12" t="s">
        <v>912</v>
      </c>
      <c r="J963" s="129" t="str">
        <f t="shared" si="39"/>
        <v>Satin Natural w/Accent</v>
      </c>
      <c r="K963" s="129"/>
    </row>
    <row r="964" spans="7:11" x14ac:dyDescent="0.3">
      <c r="G964" s="12" t="s">
        <v>16</v>
      </c>
      <c r="H964" s="12" t="s">
        <v>373</v>
      </c>
      <c r="I964" s="12" t="s">
        <v>309</v>
      </c>
      <c r="J964" s="129" t="str">
        <f t="shared" si="39"/>
        <v>Natural Hoop</v>
      </c>
      <c r="K964" s="129"/>
    </row>
    <row r="965" spans="7:11" x14ac:dyDescent="0.3">
      <c r="G965" s="12" t="s">
        <v>16</v>
      </c>
      <c r="H965" s="12" t="s">
        <v>373</v>
      </c>
      <c r="I965" s="12" t="s">
        <v>907</v>
      </c>
      <c r="J965" s="129" t="str">
        <f t="shared" si="39"/>
        <v>Natural w/Inlay</v>
      </c>
      <c r="K965" s="129"/>
    </row>
    <row r="966" spans="7:11" x14ac:dyDescent="0.3">
      <c r="G966" s="12" t="s">
        <v>16</v>
      </c>
      <c r="H966" s="12" t="s">
        <v>373</v>
      </c>
      <c r="I966" s="12" t="s">
        <v>909</v>
      </c>
      <c r="J966" s="129" t="str">
        <f t="shared" si="39"/>
        <v>Natural w/Accent</v>
      </c>
      <c r="K966" s="129"/>
    </row>
    <row r="967" spans="7:11" x14ac:dyDescent="0.3">
      <c r="G967" s="12" t="s">
        <v>16</v>
      </c>
      <c r="H967" s="12" t="s">
        <v>373</v>
      </c>
      <c r="I967" s="12" t="s">
        <v>313</v>
      </c>
      <c r="J967" s="129" t="str">
        <f t="shared" si="39"/>
        <v>Sable Black</v>
      </c>
      <c r="K967" s="129"/>
    </row>
    <row r="968" spans="7:11" x14ac:dyDescent="0.3">
      <c r="G968" s="12" t="s">
        <v>17</v>
      </c>
      <c r="H968" s="12" t="s">
        <v>373</v>
      </c>
      <c r="I968" s="12" t="s">
        <v>902</v>
      </c>
      <c r="J968" s="129" t="str">
        <f t="shared" si="39"/>
        <v>Satin Sable w/Inlay</v>
      </c>
      <c r="K968" s="129"/>
    </row>
    <row r="969" spans="7:11" x14ac:dyDescent="0.3">
      <c r="G969" s="12" t="s">
        <v>17</v>
      </c>
      <c r="H969" s="12" t="s">
        <v>373</v>
      </c>
      <c r="I969" s="12" t="s">
        <v>904</v>
      </c>
      <c r="J969" s="129" t="str">
        <f t="shared" si="39"/>
        <v>Satin Natural w/Inlay</v>
      </c>
      <c r="K969" s="129"/>
    </row>
    <row r="970" spans="7:11" x14ac:dyDescent="0.3">
      <c r="G970" s="12" t="s">
        <v>17</v>
      </c>
      <c r="H970" s="12" t="s">
        <v>373</v>
      </c>
      <c r="I970" s="12" t="s">
        <v>26</v>
      </c>
      <c r="J970" s="129" t="str">
        <f t="shared" si="39"/>
        <v>Satin Sable</v>
      </c>
      <c r="K970" s="129"/>
    </row>
    <row r="971" spans="7:11" x14ac:dyDescent="0.3">
      <c r="G971" s="12" t="s">
        <v>17</v>
      </c>
      <c r="H971" s="12" t="s">
        <v>373</v>
      </c>
      <c r="I971" s="12" t="s">
        <v>914</v>
      </c>
      <c r="J971" s="129" t="str">
        <f t="shared" si="39"/>
        <v>Satin Sable w/Accent</v>
      </c>
      <c r="K971" s="129"/>
    </row>
    <row r="972" spans="7:11" x14ac:dyDescent="0.3">
      <c r="G972" s="12" t="s">
        <v>17</v>
      </c>
      <c r="H972" s="12" t="s">
        <v>373</v>
      </c>
      <c r="I972" s="12" t="s">
        <v>321</v>
      </c>
      <c r="J972" s="129" t="str">
        <f t="shared" si="39"/>
        <v>Satin Natural</v>
      </c>
      <c r="K972" s="129"/>
    </row>
    <row r="973" spans="7:11" x14ac:dyDescent="0.3">
      <c r="G973" s="12" t="s">
        <v>17</v>
      </c>
      <c r="H973" s="12" t="s">
        <v>373</v>
      </c>
      <c r="I973" s="12" t="s">
        <v>912</v>
      </c>
      <c r="J973" s="129" t="str">
        <f t="shared" si="39"/>
        <v>Satin Natural w/Accent</v>
      </c>
      <c r="K973" s="129"/>
    </row>
    <row r="974" spans="7:11" x14ac:dyDescent="0.3">
      <c r="G974" s="12" t="s">
        <v>17</v>
      </c>
      <c r="H974" s="12" t="s">
        <v>373</v>
      </c>
      <c r="I974" s="12" t="s">
        <v>309</v>
      </c>
      <c r="J974" s="129" t="str">
        <f t="shared" si="39"/>
        <v>Natural Hoop</v>
      </c>
      <c r="K974" s="129"/>
    </row>
    <row r="975" spans="7:11" x14ac:dyDescent="0.3">
      <c r="G975" s="12" t="s">
        <v>17</v>
      </c>
      <c r="H975" s="12" t="s">
        <v>373</v>
      </c>
      <c r="I975" s="12" t="s">
        <v>907</v>
      </c>
      <c r="J975" s="129" t="str">
        <f t="shared" si="39"/>
        <v>Natural w/Inlay</v>
      </c>
      <c r="K975" s="129"/>
    </row>
    <row r="976" spans="7:11" x14ac:dyDescent="0.3">
      <c r="G976" s="12" t="s">
        <v>17</v>
      </c>
      <c r="H976" s="12" t="s">
        <v>373</v>
      </c>
      <c r="I976" s="12" t="s">
        <v>909</v>
      </c>
      <c r="J976" s="129" t="str">
        <f t="shared" si="39"/>
        <v>Natural w/Accent</v>
      </c>
      <c r="K976" s="129"/>
    </row>
    <row r="977" spans="7:11" x14ac:dyDescent="0.3">
      <c r="G977" s="12" t="s">
        <v>17</v>
      </c>
      <c r="H977" s="12" t="s">
        <v>373</v>
      </c>
      <c r="I977" s="12" t="s">
        <v>313</v>
      </c>
      <c r="J977" s="129" t="str">
        <f t="shared" si="39"/>
        <v>Sable Black</v>
      </c>
      <c r="K977" s="129"/>
    </row>
    <row r="978" spans="7:11" x14ac:dyDescent="0.3">
      <c r="G978" s="12" t="s">
        <v>19</v>
      </c>
      <c r="H978" s="12" t="s">
        <v>373</v>
      </c>
      <c r="I978" s="12" t="s">
        <v>902</v>
      </c>
      <c r="J978" s="129" t="str">
        <f t="shared" si="39"/>
        <v>Satin Sable w/Inlay</v>
      </c>
      <c r="K978" s="129"/>
    </row>
    <row r="979" spans="7:11" x14ac:dyDescent="0.3">
      <c r="G979" s="12" t="s">
        <v>19</v>
      </c>
      <c r="H979" s="12" t="s">
        <v>373</v>
      </c>
      <c r="I979" s="12" t="s">
        <v>904</v>
      </c>
      <c r="J979" s="129" t="str">
        <f t="shared" si="39"/>
        <v>Satin Natural w/Inlay</v>
      </c>
      <c r="K979" s="129"/>
    </row>
    <row r="980" spans="7:11" x14ac:dyDescent="0.3">
      <c r="G980" s="12" t="s">
        <v>19</v>
      </c>
      <c r="H980" s="12" t="s">
        <v>373</v>
      </c>
      <c r="I980" s="12" t="s">
        <v>26</v>
      </c>
      <c r="J980" s="129" t="str">
        <f t="shared" ref="J980:J1043" si="40">INDEX($C$3:$C$15,MATCH(I980,$B$3:$B$15,0))</f>
        <v>Satin Sable</v>
      </c>
      <c r="K980" s="129"/>
    </row>
    <row r="981" spans="7:11" x14ac:dyDescent="0.3">
      <c r="G981" s="12" t="s">
        <v>19</v>
      </c>
      <c r="H981" s="12" t="s">
        <v>373</v>
      </c>
      <c r="I981" s="12" t="s">
        <v>914</v>
      </c>
      <c r="J981" s="129" t="str">
        <f t="shared" si="40"/>
        <v>Satin Sable w/Accent</v>
      </c>
      <c r="K981" s="129"/>
    </row>
    <row r="982" spans="7:11" x14ac:dyDescent="0.3">
      <c r="G982" s="12" t="s">
        <v>19</v>
      </c>
      <c r="H982" s="12" t="s">
        <v>373</v>
      </c>
      <c r="I982" s="12" t="s">
        <v>321</v>
      </c>
      <c r="J982" s="129" t="str">
        <f t="shared" si="40"/>
        <v>Satin Natural</v>
      </c>
      <c r="K982" s="129"/>
    </row>
    <row r="983" spans="7:11" x14ac:dyDescent="0.3">
      <c r="G983" s="12" t="s">
        <v>19</v>
      </c>
      <c r="H983" s="12" t="s">
        <v>373</v>
      </c>
      <c r="I983" s="12" t="s">
        <v>912</v>
      </c>
      <c r="J983" s="129" t="str">
        <f t="shared" si="40"/>
        <v>Satin Natural w/Accent</v>
      </c>
      <c r="K983" s="129"/>
    </row>
    <row r="984" spans="7:11" x14ac:dyDescent="0.3">
      <c r="G984" s="12" t="s">
        <v>19</v>
      </c>
      <c r="H984" s="12" t="s">
        <v>373</v>
      </c>
      <c r="I984" s="12" t="s">
        <v>309</v>
      </c>
      <c r="J984" s="129" t="str">
        <f t="shared" si="40"/>
        <v>Natural Hoop</v>
      </c>
      <c r="K984" s="129"/>
    </row>
    <row r="985" spans="7:11" x14ac:dyDescent="0.3">
      <c r="G985" s="12" t="s">
        <v>19</v>
      </c>
      <c r="H985" s="12" t="s">
        <v>373</v>
      </c>
      <c r="I985" s="12" t="s">
        <v>313</v>
      </c>
      <c r="J985" s="129" t="str">
        <f t="shared" si="40"/>
        <v>Sable Black</v>
      </c>
      <c r="K985" s="129"/>
    </row>
    <row r="986" spans="7:11" x14ac:dyDescent="0.3">
      <c r="G986" s="12" t="s">
        <v>15</v>
      </c>
      <c r="H986" s="12" t="s">
        <v>375</v>
      </c>
      <c r="I986" s="12" t="s">
        <v>902</v>
      </c>
      <c r="J986" s="129" t="str">
        <f t="shared" si="40"/>
        <v>Satin Sable w/Inlay</v>
      </c>
      <c r="K986" s="129"/>
    </row>
    <row r="987" spans="7:11" x14ac:dyDescent="0.3">
      <c r="G987" s="12" t="s">
        <v>15</v>
      </c>
      <c r="H987" s="12" t="s">
        <v>375</v>
      </c>
      <c r="I987" s="12" t="s">
        <v>904</v>
      </c>
      <c r="J987" s="129" t="str">
        <f t="shared" si="40"/>
        <v>Satin Natural w/Inlay</v>
      </c>
      <c r="K987" s="129"/>
    </row>
    <row r="988" spans="7:11" x14ac:dyDescent="0.3">
      <c r="G988" s="12" t="s">
        <v>15</v>
      </c>
      <c r="H988" s="12" t="s">
        <v>375</v>
      </c>
      <c r="I988" s="12" t="s">
        <v>26</v>
      </c>
      <c r="J988" s="129" t="str">
        <f t="shared" si="40"/>
        <v>Satin Sable</v>
      </c>
      <c r="K988" s="129"/>
    </row>
    <row r="989" spans="7:11" x14ac:dyDescent="0.3">
      <c r="G989" s="12" t="s">
        <v>15</v>
      </c>
      <c r="H989" s="12" t="s">
        <v>375</v>
      </c>
      <c r="I989" s="12" t="s">
        <v>914</v>
      </c>
      <c r="J989" s="129" t="str">
        <f t="shared" si="40"/>
        <v>Satin Sable w/Accent</v>
      </c>
      <c r="K989" s="129"/>
    </row>
    <row r="990" spans="7:11" x14ac:dyDescent="0.3">
      <c r="G990" s="12" t="s">
        <v>15</v>
      </c>
      <c r="H990" s="12" t="s">
        <v>375</v>
      </c>
      <c r="I990" s="12" t="s">
        <v>321</v>
      </c>
      <c r="J990" s="129" t="str">
        <f t="shared" si="40"/>
        <v>Satin Natural</v>
      </c>
      <c r="K990" s="129"/>
    </row>
    <row r="991" spans="7:11" x14ac:dyDescent="0.3">
      <c r="G991" s="12" t="s">
        <v>15</v>
      </c>
      <c r="H991" s="12" t="s">
        <v>375</v>
      </c>
      <c r="I991" s="12" t="s">
        <v>912</v>
      </c>
      <c r="J991" s="129" t="str">
        <f t="shared" si="40"/>
        <v>Satin Natural w/Accent</v>
      </c>
      <c r="K991" s="129"/>
    </row>
    <row r="992" spans="7:11" x14ac:dyDescent="0.3">
      <c r="G992" s="12" t="s">
        <v>15</v>
      </c>
      <c r="H992" s="12" t="s">
        <v>375</v>
      </c>
      <c r="I992" s="12" t="s">
        <v>309</v>
      </c>
      <c r="J992" s="129" t="str">
        <f t="shared" si="40"/>
        <v>Natural Hoop</v>
      </c>
      <c r="K992" s="129"/>
    </row>
    <row r="993" spans="7:11" x14ac:dyDescent="0.3">
      <c r="G993" s="12" t="s">
        <v>15</v>
      </c>
      <c r="H993" s="12" t="s">
        <v>375</v>
      </c>
      <c r="I993" s="12" t="s">
        <v>907</v>
      </c>
      <c r="J993" s="129" t="str">
        <f t="shared" si="40"/>
        <v>Natural w/Inlay</v>
      </c>
      <c r="K993" s="129"/>
    </row>
    <row r="994" spans="7:11" x14ac:dyDescent="0.3">
      <c r="G994" s="12" t="s">
        <v>15</v>
      </c>
      <c r="H994" s="12" t="s">
        <v>375</v>
      </c>
      <c r="I994" s="12" t="s">
        <v>909</v>
      </c>
      <c r="J994" s="129" t="str">
        <f t="shared" si="40"/>
        <v>Natural w/Accent</v>
      </c>
      <c r="K994" s="129"/>
    </row>
    <row r="995" spans="7:11" x14ac:dyDescent="0.3">
      <c r="G995" s="12" t="s">
        <v>15</v>
      </c>
      <c r="H995" s="12" t="s">
        <v>375</v>
      </c>
      <c r="I995" s="12" t="s">
        <v>313</v>
      </c>
      <c r="J995" s="129" t="str">
        <f t="shared" si="40"/>
        <v>Sable Black</v>
      </c>
      <c r="K995" s="129"/>
    </row>
    <row r="996" spans="7:11" x14ac:dyDescent="0.3">
      <c r="G996" s="12" t="s">
        <v>16</v>
      </c>
      <c r="H996" s="12" t="s">
        <v>375</v>
      </c>
      <c r="I996" s="12" t="s">
        <v>902</v>
      </c>
      <c r="J996" s="129" t="str">
        <f t="shared" si="40"/>
        <v>Satin Sable w/Inlay</v>
      </c>
      <c r="K996" s="129"/>
    </row>
    <row r="997" spans="7:11" x14ac:dyDescent="0.3">
      <c r="G997" s="12" t="s">
        <v>16</v>
      </c>
      <c r="H997" s="12" t="s">
        <v>375</v>
      </c>
      <c r="I997" s="12" t="s">
        <v>904</v>
      </c>
      <c r="J997" s="129" t="str">
        <f t="shared" si="40"/>
        <v>Satin Natural w/Inlay</v>
      </c>
      <c r="K997" s="129"/>
    </row>
    <row r="998" spans="7:11" x14ac:dyDescent="0.3">
      <c r="G998" s="12" t="s">
        <v>16</v>
      </c>
      <c r="H998" s="12" t="s">
        <v>375</v>
      </c>
      <c r="I998" s="12" t="s">
        <v>26</v>
      </c>
      <c r="J998" s="129" t="str">
        <f t="shared" si="40"/>
        <v>Satin Sable</v>
      </c>
      <c r="K998" s="129"/>
    </row>
    <row r="999" spans="7:11" x14ac:dyDescent="0.3">
      <c r="G999" s="12" t="s">
        <v>16</v>
      </c>
      <c r="H999" s="12" t="s">
        <v>375</v>
      </c>
      <c r="I999" s="12" t="s">
        <v>914</v>
      </c>
      <c r="J999" s="129" t="str">
        <f t="shared" si="40"/>
        <v>Satin Sable w/Accent</v>
      </c>
      <c r="K999" s="129"/>
    </row>
    <row r="1000" spans="7:11" x14ac:dyDescent="0.3">
      <c r="G1000" s="12" t="s">
        <v>16</v>
      </c>
      <c r="H1000" s="12" t="s">
        <v>375</v>
      </c>
      <c r="I1000" s="12" t="s">
        <v>321</v>
      </c>
      <c r="J1000" s="129" t="str">
        <f t="shared" si="40"/>
        <v>Satin Natural</v>
      </c>
      <c r="K1000" s="129"/>
    </row>
    <row r="1001" spans="7:11" x14ac:dyDescent="0.3">
      <c r="G1001" s="12" t="s">
        <v>16</v>
      </c>
      <c r="H1001" s="12" t="s">
        <v>375</v>
      </c>
      <c r="I1001" s="12" t="s">
        <v>912</v>
      </c>
      <c r="J1001" s="129" t="str">
        <f t="shared" si="40"/>
        <v>Satin Natural w/Accent</v>
      </c>
      <c r="K1001" s="129"/>
    </row>
    <row r="1002" spans="7:11" x14ac:dyDescent="0.3">
      <c r="G1002" s="12" t="s">
        <v>16</v>
      </c>
      <c r="H1002" s="12" t="s">
        <v>375</v>
      </c>
      <c r="I1002" s="12" t="s">
        <v>309</v>
      </c>
      <c r="J1002" s="129" t="str">
        <f t="shared" si="40"/>
        <v>Natural Hoop</v>
      </c>
      <c r="K1002" s="129"/>
    </row>
    <row r="1003" spans="7:11" x14ac:dyDescent="0.3">
      <c r="G1003" s="12" t="s">
        <v>16</v>
      </c>
      <c r="H1003" s="12" t="s">
        <v>375</v>
      </c>
      <c r="I1003" s="12" t="s">
        <v>907</v>
      </c>
      <c r="J1003" s="129" t="str">
        <f t="shared" si="40"/>
        <v>Natural w/Inlay</v>
      </c>
      <c r="K1003" s="129"/>
    </row>
    <row r="1004" spans="7:11" x14ac:dyDescent="0.3">
      <c r="G1004" s="12" t="s">
        <v>16</v>
      </c>
      <c r="H1004" s="12" t="s">
        <v>375</v>
      </c>
      <c r="I1004" s="12" t="s">
        <v>909</v>
      </c>
      <c r="J1004" s="129" t="str">
        <f t="shared" si="40"/>
        <v>Natural w/Accent</v>
      </c>
      <c r="K1004" s="129"/>
    </row>
    <row r="1005" spans="7:11" x14ac:dyDescent="0.3">
      <c r="G1005" s="12" t="s">
        <v>16</v>
      </c>
      <c r="H1005" s="12" t="s">
        <v>375</v>
      </c>
      <c r="I1005" s="12" t="s">
        <v>313</v>
      </c>
      <c r="J1005" s="129" t="str">
        <f t="shared" si="40"/>
        <v>Sable Black</v>
      </c>
      <c r="K1005" s="129"/>
    </row>
    <row r="1006" spans="7:11" x14ac:dyDescent="0.3">
      <c r="G1006" s="12" t="s">
        <v>17</v>
      </c>
      <c r="H1006" s="12" t="s">
        <v>375</v>
      </c>
      <c r="I1006" s="12" t="s">
        <v>902</v>
      </c>
      <c r="J1006" s="129" t="str">
        <f t="shared" si="40"/>
        <v>Satin Sable w/Inlay</v>
      </c>
      <c r="K1006" s="129"/>
    </row>
    <row r="1007" spans="7:11" x14ac:dyDescent="0.3">
      <c r="G1007" s="12" t="s">
        <v>17</v>
      </c>
      <c r="H1007" s="12" t="s">
        <v>375</v>
      </c>
      <c r="I1007" s="12" t="s">
        <v>904</v>
      </c>
      <c r="J1007" s="129" t="str">
        <f t="shared" si="40"/>
        <v>Satin Natural w/Inlay</v>
      </c>
      <c r="K1007" s="129"/>
    </row>
    <row r="1008" spans="7:11" x14ac:dyDescent="0.3">
      <c r="G1008" s="12" t="s">
        <v>17</v>
      </c>
      <c r="H1008" s="12" t="s">
        <v>375</v>
      </c>
      <c r="I1008" s="12" t="s">
        <v>26</v>
      </c>
      <c r="J1008" s="129" t="str">
        <f t="shared" si="40"/>
        <v>Satin Sable</v>
      </c>
      <c r="K1008" s="129"/>
    </row>
    <row r="1009" spans="7:11" x14ac:dyDescent="0.3">
      <c r="G1009" s="12" t="s">
        <v>17</v>
      </c>
      <c r="H1009" s="12" t="s">
        <v>375</v>
      </c>
      <c r="I1009" s="12" t="s">
        <v>914</v>
      </c>
      <c r="J1009" s="129" t="str">
        <f t="shared" si="40"/>
        <v>Satin Sable w/Accent</v>
      </c>
      <c r="K1009" s="129"/>
    </row>
    <row r="1010" spans="7:11" x14ac:dyDescent="0.3">
      <c r="G1010" s="12" t="s">
        <v>17</v>
      </c>
      <c r="H1010" s="12" t="s">
        <v>375</v>
      </c>
      <c r="I1010" s="12" t="s">
        <v>321</v>
      </c>
      <c r="J1010" s="129" t="str">
        <f t="shared" si="40"/>
        <v>Satin Natural</v>
      </c>
      <c r="K1010" s="129"/>
    </row>
    <row r="1011" spans="7:11" x14ac:dyDescent="0.3">
      <c r="G1011" s="12" t="s">
        <v>17</v>
      </c>
      <c r="H1011" s="12" t="s">
        <v>375</v>
      </c>
      <c r="I1011" s="12" t="s">
        <v>912</v>
      </c>
      <c r="J1011" s="129" t="str">
        <f t="shared" si="40"/>
        <v>Satin Natural w/Accent</v>
      </c>
      <c r="K1011" s="129"/>
    </row>
    <row r="1012" spans="7:11" x14ac:dyDescent="0.3">
      <c r="G1012" s="12" t="s">
        <v>17</v>
      </c>
      <c r="H1012" s="12" t="s">
        <v>375</v>
      </c>
      <c r="I1012" s="12" t="s">
        <v>309</v>
      </c>
      <c r="J1012" s="129" t="str">
        <f t="shared" si="40"/>
        <v>Natural Hoop</v>
      </c>
      <c r="K1012" s="129"/>
    </row>
    <row r="1013" spans="7:11" x14ac:dyDescent="0.3">
      <c r="G1013" s="12" t="s">
        <v>17</v>
      </c>
      <c r="H1013" s="12" t="s">
        <v>375</v>
      </c>
      <c r="I1013" s="12" t="s">
        <v>907</v>
      </c>
      <c r="J1013" s="129" t="str">
        <f t="shared" si="40"/>
        <v>Natural w/Inlay</v>
      </c>
      <c r="K1013" s="129"/>
    </row>
    <row r="1014" spans="7:11" x14ac:dyDescent="0.3">
      <c r="G1014" s="12" t="s">
        <v>17</v>
      </c>
      <c r="H1014" s="12" t="s">
        <v>375</v>
      </c>
      <c r="I1014" s="12" t="s">
        <v>909</v>
      </c>
      <c r="J1014" s="129" t="str">
        <f t="shared" si="40"/>
        <v>Natural w/Accent</v>
      </c>
      <c r="K1014" s="129"/>
    </row>
    <row r="1015" spans="7:11" x14ac:dyDescent="0.3">
      <c r="G1015" s="12" t="s">
        <v>17</v>
      </c>
      <c r="H1015" s="12" t="s">
        <v>375</v>
      </c>
      <c r="I1015" s="12" t="s">
        <v>313</v>
      </c>
      <c r="J1015" s="129" t="str">
        <f t="shared" si="40"/>
        <v>Sable Black</v>
      </c>
      <c r="K1015" s="129"/>
    </row>
    <row r="1016" spans="7:11" x14ac:dyDescent="0.3">
      <c r="G1016" s="12" t="s">
        <v>19</v>
      </c>
      <c r="H1016" s="12" t="s">
        <v>375</v>
      </c>
      <c r="I1016" s="12" t="s">
        <v>902</v>
      </c>
      <c r="J1016" s="129" t="str">
        <f t="shared" si="40"/>
        <v>Satin Sable w/Inlay</v>
      </c>
      <c r="K1016" s="129"/>
    </row>
    <row r="1017" spans="7:11" x14ac:dyDescent="0.3">
      <c r="G1017" s="12" t="s">
        <v>19</v>
      </c>
      <c r="H1017" s="12" t="s">
        <v>375</v>
      </c>
      <c r="I1017" s="12" t="s">
        <v>904</v>
      </c>
      <c r="J1017" s="129" t="str">
        <f t="shared" si="40"/>
        <v>Satin Natural w/Inlay</v>
      </c>
      <c r="K1017" s="129"/>
    </row>
    <row r="1018" spans="7:11" x14ac:dyDescent="0.3">
      <c r="G1018" s="12" t="s">
        <v>19</v>
      </c>
      <c r="H1018" s="12" t="s">
        <v>375</v>
      </c>
      <c r="I1018" s="12" t="s">
        <v>26</v>
      </c>
      <c r="J1018" s="129" t="str">
        <f t="shared" si="40"/>
        <v>Satin Sable</v>
      </c>
      <c r="K1018" s="129"/>
    </row>
    <row r="1019" spans="7:11" x14ac:dyDescent="0.3">
      <c r="G1019" s="12" t="s">
        <v>19</v>
      </c>
      <c r="H1019" s="12" t="s">
        <v>375</v>
      </c>
      <c r="I1019" s="12" t="s">
        <v>914</v>
      </c>
      <c r="J1019" s="129" t="str">
        <f t="shared" si="40"/>
        <v>Satin Sable w/Accent</v>
      </c>
      <c r="K1019" s="129"/>
    </row>
    <row r="1020" spans="7:11" x14ac:dyDescent="0.3">
      <c r="G1020" s="12" t="s">
        <v>19</v>
      </c>
      <c r="H1020" s="12" t="s">
        <v>375</v>
      </c>
      <c r="I1020" s="12" t="s">
        <v>321</v>
      </c>
      <c r="J1020" s="129" t="str">
        <f t="shared" si="40"/>
        <v>Satin Natural</v>
      </c>
      <c r="K1020" s="129"/>
    </row>
    <row r="1021" spans="7:11" x14ac:dyDescent="0.3">
      <c r="G1021" s="12" t="s">
        <v>19</v>
      </c>
      <c r="H1021" s="12" t="s">
        <v>375</v>
      </c>
      <c r="I1021" s="12" t="s">
        <v>912</v>
      </c>
      <c r="J1021" s="129" t="str">
        <f t="shared" si="40"/>
        <v>Satin Natural w/Accent</v>
      </c>
      <c r="K1021" s="129"/>
    </row>
    <row r="1022" spans="7:11" x14ac:dyDescent="0.3">
      <c r="G1022" s="12" t="s">
        <v>19</v>
      </c>
      <c r="H1022" s="12" t="s">
        <v>375</v>
      </c>
      <c r="I1022" s="12" t="s">
        <v>309</v>
      </c>
      <c r="J1022" s="129" t="str">
        <f t="shared" si="40"/>
        <v>Natural Hoop</v>
      </c>
      <c r="K1022" s="129"/>
    </row>
    <row r="1023" spans="7:11" x14ac:dyDescent="0.3">
      <c r="G1023" s="12" t="s">
        <v>19</v>
      </c>
      <c r="H1023" s="12" t="s">
        <v>375</v>
      </c>
      <c r="I1023" s="12" t="s">
        <v>313</v>
      </c>
      <c r="J1023" s="129" t="str">
        <f t="shared" si="40"/>
        <v>Sable Black</v>
      </c>
      <c r="K1023" s="129"/>
    </row>
    <row r="1024" spans="7:11" x14ac:dyDescent="0.3">
      <c r="G1024" s="12" t="s">
        <v>19</v>
      </c>
      <c r="H1024" s="12" t="s">
        <v>322</v>
      </c>
      <c r="I1024" s="12" t="s">
        <v>60</v>
      </c>
      <c r="J1024" s="129" t="str">
        <f t="shared" si="40"/>
        <v>Matching Hoop</v>
      </c>
      <c r="K1024" s="129"/>
    </row>
    <row r="1025" spans="7:11" x14ac:dyDescent="0.3">
      <c r="G1025" s="12" t="s">
        <v>15</v>
      </c>
      <c r="H1025" s="12" t="s">
        <v>377</v>
      </c>
      <c r="I1025" s="12" t="s">
        <v>902</v>
      </c>
      <c r="J1025" s="129" t="str">
        <f t="shared" si="40"/>
        <v>Satin Sable w/Inlay</v>
      </c>
      <c r="K1025" s="129"/>
    </row>
    <row r="1026" spans="7:11" x14ac:dyDescent="0.3">
      <c r="G1026" s="12" t="s">
        <v>15</v>
      </c>
      <c r="H1026" s="12" t="s">
        <v>377</v>
      </c>
      <c r="I1026" s="12" t="s">
        <v>904</v>
      </c>
      <c r="J1026" s="129" t="str">
        <f t="shared" si="40"/>
        <v>Satin Natural w/Inlay</v>
      </c>
      <c r="K1026" s="129"/>
    </row>
    <row r="1027" spans="7:11" x14ac:dyDescent="0.3">
      <c r="G1027" s="12" t="s">
        <v>15</v>
      </c>
      <c r="H1027" s="12" t="s">
        <v>377</v>
      </c>
      <c r="I1027" s="12" t="s">
        <v>26</v>
      </c>
      <c r="J1027" s="129" t="str">
        <f t="shared" si="40"/>
        <v>Satin Sable</v>
      </c>
      <c r="K1027" s="129"/>
    </row>
    <row r="1028" spans="7:11" x14ac:dyDescent="0.3">
      <c r="G1028" s="12" t="s">
        <v>15</v>
      </c>
      <c r="H1028" s="12" t="s">
        <v>377</v>
      </c>
      <c r="I1028" s="12" t="s">
        <v>914</v>
      </c>
      <c r="J1028" s="129" t="str">
        <f t="shared" si="40"/>
        <v>Satin Sable w/Accent</v>
      </c>
      <c r="K1028" s="129"/>
    </row>
    <row r="1029" spans="7:11" x14ac:dyDescent="0.3">
      <c r="G1029" s="12" t="s">
        <v>15</v>
      </c>
      <c r="H1029" s="12" t="s">
        <v>377</v>
      </c>
      <c r="I1029" s="12" t="s">
        <v>321</v>
      </c>
      <c r="J1029" s="129" t="str">
        <f t="shared" si="40"/>
        <v>Satin Natural</v>
      </c>
      <c r="K1029" s="129"/>
    </row>
    <row r="1030" spans="7:11" x14ac:dyDescent="0.3">
      <c r="G1030" s="12" t="s">
        <v>15</v>
      </c>
      <c r="H1030" s="12" t="s">
        <v>377</v>
      </c>
      <c r="I1030" s="12" t="s">
        <v>912</v>
      </c>
      <c r="J1030" s="129" t="str">
        <f t="shared" si="40"/>
        <v>Satin Natural w/Accent</v>
      </c>
      <c r="K1030" s="129"/>
    </row>
    <row r="1031" spans="7:11" x14ac:dyDescent="0.3">
      <c r="G1031" s="12" t="s">
        <v>15</v>
      </c>
      <c r="H1031" s="12" t="s">
        <v>377</v>
      </c>
      <c r="I1031" s="12" t="s">
        <v>309</v>
      </c>
      <c r="J1031" s="129" t="str">
        <f t="shared" si="40"/>
        <v>Natural Hoop</v>
      </c>
      <c r="K1031" s="129"/>
    </row>
    <row r="1032" spans="7:11" x14ac:dyDescent="0.3">
      <c r="G1032" s="12" t="s">
        <v>15</v>
      </c>
      <c r="H1032" s="12" t="s">
        <v>377</v>
      </c>
      <c r="I1032" s="12" t="s">
        <v>907</v>
      </c>
      <c r="J1032" s="129" t="str">
        <f t="shared" si="40"/>
        <v>Natural w/Inlay</v>
      </c>
      <c r="K1032" s="129"/>
    </row>
    <row r="1033" spans="7:11" x14ac:dyDescent="0.3">
      <c r="G1033" s="12" t="s">
        <v>15</v>
      </c>
      <c r="H1033" s="12" t="s">
        <v>377</v>
      </c>
      <c r="I1033" s="12" t="s">
        <v>909</v>
      </c>
      <c r="J1033" s="129" t="str">
        <f t="shared" si="40"/>
        <v>Natural w/Accent</v>
      </c>
      <c r="K1033" s="129"/>
    </row>
    <row r="1034" spans="7:11" x14ac:dyDescent="0.3">
      <c r="G1034" s="12" t="s">
        <v>15</v>
      </c>
      <c r="H1034" s="12" t="s">
        <v>377</v>
      </c>
      <c r="I1034" s="12" t="s">
        <v>313</v>
      </c>
      <c r="J1034" s="129" t="str">
        <f t="shared" si="40"/>
        <v>Sable Black</v>
      </c>
      <c r="K1034" s="129"/>
    </row>
    <row r="1035" spans="7:11" x14ac:dyDescent="0.3">
      <c r="G1035" s="12" t="s">
        <v>16</v>
      </c>
      <c r="H1035" s="12" t="s">
        <v>377</v>
      </c>
      <c r="I1035" s="12" t="s">
        <v>902</v>
      </c>
      <c r="J1035" s="129" t="str">
        <f t="shared" si="40"/>
        <v>Satin Sable w/Inlay</v>
      </c>
      <c r="K1035" s="129"/>
    </row>
    <row r="1036" spans="7:11" x14ac:dyDescent="0.3">
      <c r="G1036" s="12" t="s">
        <v>16</v>
      </c>
      <c r="H1036" s="12" t="s">
        <v>377</v>
      </c>
      <c r="I1036" s="12" t="s">
        <v>904</v>
      </c>
      <c r="J1036" s="129" t="str">
        <f t="shared" si="40"/>
        <v>Satin Natural w/Inlay</v>
      </c>
      <c r="K1036" s="129"/>
    </row>
    <row r="1037" spans="7:11" x14ac:dyDescent="0.3">
      <c r="G1037" s="12" t="s">
        <v>16</v>
      </c>
      <c r="H1037" s="12" t="s">
        <v>377</v>
      </c>
      <c r="I1037" s="12" t="s">
        <v>26</v>
      </c>
      <c r="J1037" s="129" t="str">
        <f t="shared" si="40"/>
        <v>Satin Sable</v>
      </c>
      <c r="K1037" s="129"/>
    </row>
    <row r="1038" spans="7:11" x14ac:dyDescent="0.3">
      <c r="G1038" s="12" t="s">
        <v>16</v>
      </c>
      <c r="H1038" s="12" t="s">
        <v>377</v>
      </c>
      <c r="I1038" s="12" t="s">
        <v>914</v>
      </c>
      <c r="J1038" s="129" t="str">
        <f t="shared" si="40"/>
        <v>Satin Sable w/Accent</v>
      </c>
      <c r="K1038" s="129"/>
    </row>
    <row r="1039" spans="7:11" x14ac:dyDescent="0.3">
      <c r="G1039" s="12" t="s">
        <v>16</v>
      </c>
      <c r="H1039" s="12" t="s">
        <v>377</v>
      </c>
      <c r="I1039" s="12" t="s">
        <v>321</v>
      </c>
      <c r="J1039" s="129" t="str">
        <f t="shared" si="40"/>
        <v>Satin Natural</v>
      </c>
      <c r="K1039" s="129"/>
    </row>
    <row r="1040" spans="7:11" x14ac:dyDescent="0.3">
      <c r="G1040" s="12" t="s">
        <v>16</v>
      </c>
      <c r="H1040" s="12" t="s">
        <v>377</v>
      </c>
      <c r="I1040" s="12" t="s">
        <v>912</v>
      </c>
      <c r="J1040" s="129" t="str">
        <f t="shared" si="40"/>
        <v>Satin Natural w/Accent</v>
      </c>
      <c r="K1040" s="129"/>
    </row>
    <row r="1041" spans="7:11" x14ac:dyDescent="0.3">
      <c r="G1041" s="12" t="s">
        <v>16</v>
      </c>
      <c r="H1041" s="12" t="s">
        <v>377</v>
      </c>
      <c r="I1041" s="12" t="s">
        <v>309</v>
      </c>
      <c r="J1041" s="129" t="str">
        <f t="shared" si="40"/>
        <v>Natural Hoop</v>
      </c>
      <c r="K1041" s="129"/>
    </row>
    <row r="1042" spans="7:11" x14ac:dyDescent="0.3">
      <c r="G1042" s="12" t="s">
        <v>16</v>
      </c>
      <c r="H1042" s="12" t="s">
        <v>377</v>
      </c>
      <c r="I1042" s="12" t="s">
        <v>907</v>
      </c>
      <c r="J1042" s="129" t="str">
        <f t="shared" si="40"/>
        <v>Natural w/Inlay</v>
      </c>
      <c r="K1042" s="129"/>
    </row>
    <row r="1043" spans="7:11" x14ac:dyDescent="0.3">
      <c r="G1043" s="12" t="s">
        <v>16</v>
      </c>
      <c r="H1043" s="12" t="s">
        <v>377</v>
      </c>
      <c r="I1043" s="12" t="s">
        <v>909</v>
      </c>
      <c r="J1043" s="129" t="str">
        <f t="shared" si="40"/>
        <v>Natural w/Accent</v>
      </c>
      <c r="K1043" s="129"/>
    </row>
    <row r="1044" spans="7:11" x14ac:dyDescent="0.3">
      <c r="G1044" s="12" t="s">
        <v>16</v>
      </c>
      <c r="H1044" s="12" t="s">
        <v>377</v>
      </c>
      <c r="I1044" s="12" t="s">
        <v>313</v>
      </c>
      <c r="J1044" s="129" t="str">
        <f t="shared" ref="J1044:J1107" si="41">INDEX($C$3:$C$15,MATCH(I1044,$B$3:$B$15,0))</f>
        <v>Sable Black</v>
      </c>
      <c r="K1044" s="129"/>
    </row>
    <row r="1045" spans="7:11" x14ac:dyDescent="0.3">
      <c r="G1045" s="12" t="s">
        <v>17</v>
      </c>
      <c r="H1045" s="12" t="s">
        <v>377</v>
      </c>
      <c r="I1045" s="12" t="s">
        <v>902</v>
      </c>
      <c r="J1045" s="129" t="str">
        <f t="shared" si="41"/>
        <v>Satin Sable w/Inlay</v>
      </c>
      <c r="K1045" s="129"/>
    </row>
    <row r="1046" spans="7:11" x14ac:dyDescent="0.3">
      <c r="G1046" s="12" t="s">
        <v>17</v>
      </c>
      <c r="H1046" s="12" t="s">
        <v>377</v>
      </c>
      <c r="I1046" s="12" t="s">
        <v>904</v>
      </c>
      <c r="J1046" s="129" t="str">
        <f t="shared" si="41"/>
        <v>Satin Natural w/Inlay</v>
      </c>
      <c r="K1046" s="129"/>
    </row>
    <row r="1047" spans="7:11" x14ac:dyDescent="0.3">
      <c r="G1047" s="12" t="s">
        <v>17</v>
      </c>
      <c r="H1047" s="12" t="s">
        <v>377</v>
      </c>
      <c r="I1047" s="12" t="s">
        <v>26</v>
      </c>
      <c r="J1047" s="129" t="str">
        <f t="shared" si="41"/>
        <v>Satin Sable</v>
      </c>
      <c r="K1047" s="129"/>
    </row>
    <row r="1048" spans="7:11" x14ac:dyDescent="0.3">
      <c r="G1048" s="12" t="s">
        <v>17</v>
      </c>
      <c r="H1048" s="12" t="s">
        <v>377</v>
      </c>
      <c r="I1048" s="12" t="s">
        <v>914</v>
      </c>
      <c r="J1048" s="129" t="str">
        <f t="shared" si="41"/>
        <v>Satin Sable w/Accent</v>
      </c>
      <c r="K1048" s="129"/>
    </row>
    <row r="1049" spans="7:11" x14ac:dyDescent="0.3">
      <c r="G1049" s="12" t="s">
        <v>17</v>
      </c>
      <c r="H1049" s="12" t="s">
        <v>377</v>
      </c>
      <c r="I1049" s="12" t="s">
        <v>321</v>
      </c>
      <c r="J1049" s="129" t="str">
        <f t="shared" si="41"/>
        <v>Satin Natural</v>
      </c>
      <c r="K1049" s="129"/>
    </row>
    <row r="1050" spans="7:11" x14ac:dyDescent="0.3">
      <c r="G1050" s="12" t="s">
        <v>17</v>
      </c>
      <c r="H1050" s="12" t="s">
        <v>377</v>
      </c>
      <c r="I1050" s="12" t="s">
        <v>912</v>
      </c>
      <c r="J1050" s="129" t="str">
        <f t="shared" si="41"/>
        <v>Satin Natural w/Accent</v>
      </c>
      <c r="K1050" s="129"/>
    </row>
    <row r="1051" spans="7:11" x14ac:dyDescent="0.3">
      <c r="G1051" s="12" t="s">
        <v>17</v>
      </c>
      <c r="H1051" s="12" t="s">
        <v>377</v>
      </c>
      <c r="I1051" s="12" t="s">
        <v>309</v>
      </c>
      <c r="J1051" s="129" t="str">
        <f t="shared" si="41"/>
        <v>Natural Hoop</v>
      </c>
      <c r="K1051" s="129"/>
    </row>
    <row r="1052" spans="7:11" x14ac:dyDescent="0.3">
      <c r="G1052" s="12" t="s">
        <v>17</v>
      </c>
      <c r="H1052" s="12" t="s">
        <v>377</v>
      </c>
      <c r="I1052" s="12" t="s">
        <v>907</v>
      </c>
      <c r="J1052" s="129" t="str">
        <f t="shared" si="41"/>
        <v>Natural w/Inlay</v>
      </c>
      <c r="K1052" s="129"/>
    </row>
    <row r="1053" spans="7:11" x14ac:dyDescent="0.3">
      <c r="G1053" s="12" t="s">
        <v>17</v>
      </c>
      <c r="H1053" s="12" t="s">
        <v>377</v>
      </c>
      <c r="I1053" s="12" t="s">
        <v>909</v>
      </c>
      <c r="J1053" s="129" t="str">
        <f t="shared" si="41"/>
        <v>Natural w/Accent</v>
      </c>
      <c r="K1053" s="129"/>
    </row>
    <row r="1054" spans="7:11" x14ac:dyDescent="0.3">
      <c r="G1054" s="12" t="s">
        <v>17</v>
      </c>
      <c r="H1054" s="12" t="s">
        <v>377</v>
      </c>
      <c r="I1054" s="12" t="s">
        <v>313</v>
      </c>
      <c r="J1054" s="129" t="str">
        <f t="shared" si="41"/>
        <v>Sable Black</v>
      </c>
      <c r="K1054" s="129"/>
    </row>
    <row r="1055" spans="7:11" x14ac:dyDescent="0.3">
      <c r="G1055" s="12" t="s">
        <v>19</v>
      </c>
      <c r="H1055" s="12" t="s">
        <v>377</v>
      </c>
      <c r="I1055" s="12" t="s">
        <v>902</v>
      </c>
      <c r="J1055" s="129" t="str">
        <f t="shared" si="41"/>
        <v>Satin Sable w/Inlay</v>
      </c>
      <c r="K1055" s="129"/>
    </row>
    <row r="1056" spans="7:11" x14ac:dyDescent="0.3">
      <c r="G1056" s="12" t="s">
        <v>19</v>
      </c>
      <c r="H1056" s="12" t="s">
        <v>377</v>
      </c>
      <c r="I1056" s="12" t="s">
        <v>904</v>
      </c>
      <c r="J1056" s="129" t="str">
        <f t="shared" si="41"/>
        <v>Satin Natural w/Inlay</v>
      </c>
      <c r="K1056" s="129"/>
    </row>
    <row r="1057" spans="7:11" x14ac:dyDescent="0.3">
      <c r="G1057" s="12" t="s">
        <v>19</v>
      </c>
      <c r="H1057" s="12" t="s">
        <v>377</v>
      </c>
      <c r="I1057" s="12" t="s">
        <v>26</v>
      </c>
      <c r="J1057" s="129" t="str">
        <f t="shared" si="41"/>
        <v>Satin Sable</v>
      </c>
      <c r="K1057" s="129"/>
    </row>
    <row r="1058" spans="7:11" x14ac:dyDescent="0.3">
      <c r="G1058" s="12" t="s">
        <v>19</v>
      </c>
      <c r="H1058" s="12" t="s">
        <v>377</v>
      </c>
      <c r="I1058" s="12" t="s">
        <v>914</v>
      </c>
      <c r="J1058" s="129" t="str">
        <f t="shared" si="41"/>
        <v>Satin Sable w/Accent</v>
      </c>
      <c r="K1058" s="129"/>
    </row>
    <row r="1059" spans="7:11" x14ac:dyDescent="0.3">
      <c r="G1059" s="12" t="s">
        <v>19</v>
      </c>
      <c r="H1059" s="12" t="s">
        <v>377</v>
      </c>
      <c r="I1059" s="12" t="s">
        <v>321</v>
      </c>
      <c r="J1059" s="129" t="str">
        <f t="shared" si="41"/>
        <v>Satin Natural</v>
      </c>
      <c r="K1059" s="129"/>
    </row>
    <row r="1060" spans="7:11" x14ac:dyDescent="0.3">
      <c r="G1060" s="12" t="s">
        <v>19</v>
      </c>
      <c r="H1060" s="12" t="s">
        <v>377</v>
      </c>
      <c r="I1060" s="12" t="s">
        <v>912</v>
      </c>
      <c r="J1060" s="129" t="str">
        <f t="shared" si="41"/>
        <v>Satin Natural w/Accent</v>
      </c>
      <c r="K1060" s="129"/>
    </row>
    <row r="1061" spans="7:11" x14ac:dyDescent="0.3">
      <c r="G1061" s="12" t="s">
        <v>19</v>
      </c>
      <c r="H1061" s="12" t="s">
        <v>377</v>
      </c>
      <c r="I1061" s="12" t="s">
        <v>309</v>
      </c>
      <c r="J1061" s="129" t="str">
        <f t="shared" si="41"/>
        <v>Natural Hoop</v>
      </c>
      <c r="K1061" s="129"/>
    </row>
    <row r="1062" spans="7:11" x14ac:dyDescent="0.3">
      <c r="G1062" s="12" t="s">
        <v>19</v>
      </c>
      <c r="H1062" s="12" t="s">
        <v>377</v>
      </c>
      <c r="I1062" s="12" t="s">
        <v>313</v>
      </c>
      <c r="J1062" s="129" t="str">
        <f t="shared" si="41"/>
        <v>Sable Black</v>
      </c>
      <c r="K1062" s="129"/>
    </row>
    <row r="1063" spans="7:11" x14ac:dyDescent="0.3">
      <c r="G1063" s="12" t="s">
        <v>19</v>
      </c>
      <c r="H1063" s="12" t="s">
        <v>324</v>
      </c>
      <c r="I1063" s="12" t="s">
        <v>60</v>
      </c>
      <c r="J1063" s="129" t="str">
        <f t="shared" si="41"/>
        <v>Matching Hoop</v>
      </c>
      <c r="K1063" s="129"/>
    </row>
    <row r="1064" spans="7:11" x14ac:dyDescent="0.3">
      <c r="G1064" s="12" t="s">
        <v>15</v>
      </c>
      <c r="H1064" s="12" t="s">
        <v>378</v>
      </c>
      <c r="I1064" s="12" t="s">
        <v>902</v>
      </c>
      <c r="J1064" s="129" t="str">
        <f t="shared" si="41"/>
        <v>Satin Sable w/Inlay</v>
      </c>
      <c r="K1064" s="129"/>
    </row>
    <row r="1065" spans="7:11" x14ac:dyDescent="0.3">
      <c r="G1065" s="12" t="s">
        <v>15</v>
      </c>
      <c r="H1065" s="12" t="s">
        <v>378</v>
      </c>
      <c r="I1065" s="12" t="s">
        <v>904</v>
      </c>
      <c r="J1065" s="129" t="str">
        <f t="shared" si="41"/>
        <v>Satin Natural w/Inlay</v>
      </c>
      <c r="K1065" s="129"/>
    </row>
    <row r="1066" spans="7:11" x14ac:dyDescent="0.3">
      <c r="G1066" s="12" t="s">
        <v>15</v>
      </c>
      <c r="H1066" s="12" t="s">
        <v>378</v>
      </c>
      <c r="I1066" s="12" t="s">
        <v>26</v>
      </c>
      <c r="J1066" s="129" t="str">
        <f t="shared" si="41"/>
        <v>Satin Sable</v>
      </c>
      <c r="K1066" s="129"/>
    </row>
    <row r="1067" spans="7:11" x14ac:dyDescent="0.3">
      <c r="G1067" s="12" t="s">
        <v>15</v>
      </c>
      <c r="H1067" s="12" t="s">
        <v>378</v>
      </c>
      <c r="I1067" s="12" t="s">
        <v>914</v>
      </c>
      <c r="J1067" s="129" t="str">
        <f t="shared" si="41"/>
        <v>Satin Sable w/Accent</v>
      </c>
      <c r="K1067" s="129"/>
    </row>
    <row r="1068" spans="7:11" x14ac:dyDescent="0.3">
      <c r="G1068" s="12" t="s">
        <v>15</v>
      </c>
      <c r="H1068" s="12" t="s">
        <v>378</v>
      </c>
      <c r="I1068" s="12" t="s">
        <v>321</v>
      </c>
      <c r="J1068" s="129" t="str">
        <f t="shared" si="41"/>
        <v>Satin Natural</v>
      </c>
      <c r="K1068" s="129"/>
    </row>
    <row r="1069" spans="7:11" x14ac:dyDescent="0.3">
      <c r="G1069" s="12" t="s">
        <v>15</v>
      </c>
      <c r="H1069" s="12" t="s">
        <v>378</v>
      </c>
      <c r="I1069" s="12" t="s">
        <v>912</v>
      </c>
      <c r="J1069" s="129" t="str">
        <f t="shared" si="41"/>
        <v>Satin Natural w/Accent</v>
      </c>
      <c r="K1069" s="129"/>
    </row>
    <row r="1070" spans="7:11" x14ac:dyDescent="0.3">
      <c r="G1070" s="12" t="s">
        <v>15</v>
      </c>
      <c r="H1070" s="12" t="s">
        <v>378</v>
      </c>
      <c r="I1070" s="12" t="s">
        <v>309</v>
      </c>
      <c r="J1070" s="129" t="str">
        <f t="shared" si="41"/>
        <v>Natural Hoop</v>
      </c>
      <c r="K1070" s="129"/>
    </row>
    <row r="1071" spans="7:11" x14ac:dyDescent="0.3">
      <c r="G1071" s="12" t="s">
        <v>15</v>
      </c>
      <c r="H1071" s="12" t="s">
        <v>378</v>
      </c>
      <c r="I1071" s="12" t="s">
        <v>907</v>
      </c>
      <c r="J1071" s="129" t="str">
        <f t="shared" si="41"/>
        <v>Natural w/Inlay</v>
      </c>
      <c r="K1071" s="129"/>
    </row>
    <row r="1072" spans="7:11" x14ac:dyDescent="0.3">
      <c r="G1072" s="12" t="s">
        <v>15</v>
      </c>
      <c r="H1072" s="12" t="s">
        <v>378</v>
      </c>
      <c r="I1072" s="12" t="s">
        <v>909</v>
      </c>
      <c r="J1072" s="129" t="str">
        <f t="shared" si="41"/>
        <v>Natural w/Accent</v>
      </c>
      <c r="K1072" s="129"/>
    </row>
    <row r="1073" spans="7:11" x14ac:dyDescent="0.3">
      <c r="G1073" s="12" t="s">
        <v>15</v>
      </c>
      <c r="H1073" s="12" t="s">
        <v>378</v>
      </c>
      <c r="I1073" s="12" t="s">
        <v>313</v>
      </c>
      <c r="J1073" s="129" t="str">
        <f t="shared" si="41"/>
        <v>Sable Black</v>
      </c>
      <c r="K1073" s="129"/>
    </row>
    <row r="1074" spans="7:11" x14ac:dyDescent="0.3">
      <c r="G1074" s="12" t="s">
        <v>16</v>
      </c>
      <c r="H1074" s="12" t="s">
        <v>378</v>
      </c>
      <c r="I1074" s="12" t="s">
        <v>902</v>
      </c>
      <c r="J1074" s="129" t="str">
        <f t="shared" si="41"/>
        <v>Satin Sable w/Inlay</v>
      </c>
      <c r="K1074" s="129"/>
    </row>
    <row r="1075" spans="7:11" x14ac:dyDescent="0.3">
      <c r="G1075" s="12" t="s">
        <v>16</v>
      </c>
      <c r="H1075" s="12" t="s">
        <v>378</v>
      </c>
      <c r="I1075" s="12" t="s">
        <v>904</v>
      </c>
      <c r="J1075" s="129" t="str">
        <f t="shared" si="41"/>
        <v>Satin Natural w/Inlay</v>
      </c>
      <c r="K1075" s="129"/>
    </row>
    <row r="1076" spans="7:11" x14ac:dyDescent="0.3">
      <c r="G1076" s="12" t="s">
        <v>16</v>
      </c>
      <c r="H1076" s="12" t="s">
        <v>378</v>
      </c>
      <c r="I1076" s="12" t="s">
        <v>26</v>
      </c>
      <c r="J1076" s="129" t="str">
        <f t="shared" si="41"/>
        <v>Satin Sable</v>
      </c>
      <c r="K1076" s="129"/>
    </row>
    <row r="1077" spans="7:11" x14ac:dyDescent="0.3">
      <c r="G1077" s="12" t="s">
        <v>16</v>
      </c>
      <c r="H1077" s="12" t="s">
        <v>378</v>
      </c>
      <c r="I1077" s="12" t="s">
        <v>914</v>
      </c>
      <c r="J1077" s="129" t="str">
        <f t="shared" si="41"/>
        <v>Satin Sable w/Accent</v>
      </c>
      <c r="K1077" s="129"/>
    </row>
    <row r="1078" spans="7:11" x14ac:dyDescent="0.3">
      <c r="G1078" s="12" t="s">
        <v>16</v>
      </c>
      <c r="H1078" s="12" t="s">
        <v>378</v>
      </c>
      <c r="I1078" s="12" t="s">
        <v>321</v>
      </c>
      <c r="J1078" s="129" t="str">
        <f t="shared" si="41"/>
        <v>Satin Natural</v>
      </c>
      <c r="K1078" s="129"/>
    </row>
    <row r="1079" spans="7:11" x14ac:dyDescent="0.3">
      <c r="G1079" s="12" t="s">
        <v>16</v>
      </c>
      <c r="H1079" s="12" t="s">
        <v>378</v>
      </c>
      <c r="I1079" s="12" t="s">
        <v>912</v>
      </c>
      <c r="J1079" s="129" t="str">
        <f t="shared" si="41"/>
        <v>Satin Natural w/Accent</v>
      </c>
      <c r="K1079" s="129"/>
    </row>
    <row r="1080" spans="7:11" x14ac:dyDescent="0.3">
      <c r="G1080" s="12" t="s">
        <v>16</v>
      </c>
      <c r="H1080" s="12" t="s">
        <v>378</v>
      </c>
      <c r="I1080" s="12" t="s">
        <v>309</v>
      </c>
      <c r="J1080" s="129" t="str">
        <f t="shared" si="41"/>
        <v>Natural Hoop</v>
      </c>
      <c r="K1080" s="129"/>
    </row>
    <row r="1081" spans="7:11" x14ac:dyDescent="0.3">
      <c r="G1081" s="12" t="s">
        <v>16</v>
      </c>
      <c r="H1081" s="12" t="s">
        <v>378</v>
      </c>
      <c r="I1081" s="12" t="s">
        <v>907</v>
      </c>
      <c r="J1081" s="129" t="str">
        <f t="shared" si="41"/>
        <v>Natural w/Inlay</v>
      </c>
      <c r="K1081" s="129"/>
    </row>
    <row r="1082" spans="7:11" x14ac:dyDescent="0.3">
      <c r="G1082" s="12" t="s">
        <v>16</v>
      </c>
      <c r="H1082" s="12" t="s">
        <v>378</v>
      </c>
      <c r="I1082" s="12" t="s">
        <v>909</v>
      </c>
      <c r="J1082" s="129" t="str">
        <f t="shared" si="41"/>
        <v>Natural w/Accent</v>
      </c>
      <c r="K1082" s="129"/>
    </row>
    <row r="1083" spans="7:11" x14ac:dyDescent="0.3">
      <c r="G1083" s="12" t="s">
        <v>16</v>
      </c>
      <c r="H1083" s="12" t="s">
        <v>378</v>
      </c>
      <c r="I1083" s="12" t="s">
        <v>313</v>
      </c>
      <c r="J1083" s="129" t="str">
        <f t="shared" si="41"/>
        <v>Sable Black</v>
      </c>
      <c r="K1083" s="129"/>
    </row>
    <row r="1084" spans="7:11" x14ac:dyDescent="0.3">
      <c r="G1084" s="12" t="s">
        <v>17</v>
      </c>
      <c r="H1084" s="12" t="s">
        <v>378</v>
      </c>
      <c r="I1084" s="12" t="s">
        <v>902</v>
      </c>
      <c r="J1084" s="129" t="str">
        <f t="shared" si="41"/>
        <v>Satin Sable w/Inlay</v>
      </c>
      <c r="K1084" s="129"/>
    </row>
    <row r="1085" spans="7:11" x14ac:dyDescent="0.3">
      <c r="G1085" s="12" t="s">
        <v>17</v>
      </c>
      <c r="H1085" s="12" t="s">
        <v>378</v>
      </c>
      <c r="I1085" s="12" t="s">
        <v>904</v>
      </c>
      <c r="J1085" s="129" t="str">
        <f t="shared" si="41"/>
        <v>Satin Natural w/Inlay</v>
      </c>
      <c r="K1085" s="129"/>
    </row>
    <row r="1086" spans="7:11" x14ac:dyDescent="0.3">
      <c r="G1086" s="12" t="s">
        <v>17</v>
      </c>
      <c r="H1086" s="12" t="s">
        <v>378</v>
      </c>
      <c r="I1086" s="12" t="s">
        <v>26</v>
      </c>
      <c r="J1086" s="129" t="str">
        <f t="shared" si="41"/>
        <v>Satin Sable</v>
      </c>
      <c r="K1086" s="129"/>
    </row>
    <row r="1087" spans="7:11" x14ac:dyDescent="0.3">
      <c r="G1087" s="12" t="s">
        <v>17</v>
      </c>
      <c r="H1087" s="12" t="s">
        <v>378</v>
      </c>
      <c r="I1087" s="12" t="s">
        <v>914</v>
      </c>
      <c r="J1087" s="129" t="str">
        <f t="shared" si="41"/>
        <v>Satin Sable w/Accent</v>
      </c>
      <c r="K1087" s="129"/>
    </row>
    <row r="1088" spans="7:11" x14ac:dyDescent="0.3">
      <c r="G1088" s="12" t="s">
        <v>17</v>
      </c>
      <c r="H1088" s="12" t="s">
        <v>378</v>
      </c>
      <c r="I1088" s="12" t="s">
        <v>321</v>
      </c>
      <c r="J1088" s="129" t="str">
        <f t="shared" si="41"/>
        <v>Satin Natural</v>
      </c>
      <c r="K1088" s="129"/>
    </row>
    <row r="1089" spans="7:11" x14ac:dyDescent="0.3">
      <c r="G1089" s="12" t="s">
        <v>17</v>
      </c>
      <c r="H1089" s="12" t="s">
        <v>378</v>
      </c>
      <c r="I1089" s="12" t="s">
        <v>912</v>
      </c>
      <c r="J1089" s="129" t="str">
        <f t="shared" si="41"/>
        <v>Satin Natural w/Accent</v>
      </c>
      <c r="K1089" s="129"/>
    </row>
    <row r="1090" spans="7:11" x14ac:dyDescent="0.3">
      <c r="G1090" s="12" t="s">
        <v>17</v>
      </c>
      <c r="H1090" s="12" t="s">
        <v>378</v>
      </c>
      <c r="I1090" s="12" t="s">
        <v>309</v>
      </c>
      <c r="J1090" s="129" t="str">
        <f t="shared" si="41"/>
        <v>Natural Hoop</v>
      </c>
      <c r="K1090" s="129"/>
    </row>
    <row r="1091" spans="7:11" x14ac:dyDescent="0.3">
      <c r="G1091" s="12" t="s">
        <v>17</v>
      </c>
      <c r="H1091" s="12" t="s">
        <v>378</v>
      </c>
      <c r="I1091" s="12" t="s">
        <v>907</v>
      </c>
      <c r="J1091" s="129" t="str">
        <f t="shared" si="41"/>
        <v>Natural w/Inlay</v>
      </c>
      <c r="K1091" s="129"/>
    </row>
    <row r="1092" spans="7:11" x14ac:dyDescent="0.3">
      <c r="G1092" s="12" t="s">
        <v>17</v>
      </c>
      <c r="H1092" s="12" t="s">
        <v>378</v>
      </c>
      <c r="I1092" s="12" t="s">
        <v>909</v>
      </c>
      <c r="J1092" s="129" t="str">
        <f t="shared" si="41"/>
        <v>Natural w/Accent</v>
      </c>
      <c r="K1092" s="129"/>
    </row>
    <row r="1093" spans="7:11" x14ac:dyDescent="0.3">
      <c r="G1093" s="12" t="s">
        <v>17</v>
      </c>
      <c r="H1093" s="12" t="s">
        <v>378</v>
      </c>
      <c r="I1093" s="12" t="s">
        <v>313</v>
      </c>
      <c r="J1093" s="129" t="str">
        <f t="shared" si="41"/>
        <v>Sable Black</v>
      </c>
      <c r="K1093" s="129"/>
    </row>
    <row r="1094" spans="7:11" x14ac:dyDescent="0.3">
      <c r="G1094" s="12" t="s">
        <v>19</v>
      </c>
      <c r="H1094" s="12" t="s">
        <v>378</v>
      </c>
      <c r="I1094" s="12" t="s">
        <v>902</v>
      </c>
      <c r="J1094" s="129" t="str">
        <f t="shared" si="41"/>
        <v>Satin Sable w/Inlay</v>
      </c>
      <c r="K1094" s="129"/>
    </row>
    <row r="1095" spans="7:11" x14ac:dyDescent="0.3">
      <c r="G1095" s="12" t="s">
        <v>19</v>
      </c>
      <c r="H1095" s="12" t="s">
        <v>378</v>
      </c>
      <c r="I1095" s="12" t="s">
        <v>904</v>
      </c>
      <c r="J1095" s="129" t="str">
        <f t="shared" si="41"/>
        <v>Satin Natural w/Inlay</v>
      </c>
      <c r="K1095" s="129"/>
    </row>
    <row r="1096" spans="7:11" x14ac:dyDescent="0.3">
      <c r="G1096" s="12" t="s">
        <v>19</v>
      </c>
      <c r="H1096" s="12" t="s">
        <v>378</v>
      </c>
      <c r="I1096" s="12" t="s">
        <v>26</v>
      </c>
      <c r="J1096" s="129" t="str">
        <f t="shared" si="41"/>
        <v>Satin Sable</v>
      </c>
      <c r="K1096" s="129"/>
    </row>
    <row r="1097" spans="7:11" x14ac:dyDescent="0.3">
      <c r="G1097" s="12" t="s">
        <v>19</v>
      </c>
      <c r="H1097" s="12" t="s">
        <v>378</v>
      </c>
      <c r="I1097" s="12" t="s">
        <v>914</v>
      </c>
      <c r="J1097" s="129" t="str">
        <f t="shared" si="41"/>
        <v>Satin Sable w/Accent</v>
      </c>
      <c r="K1097" s="129"/>
    </row>
    <row r="1098" spans="7:11" x14ac:dyDescent="0.3">
      <c r="G1098" s="12" t="s">
        <v>19</v>
      </c>
      <c r="H1098" s="12" t="s">
        <v>378</v>
      </c>
      <c r="I1098" s="12" t="s">
        <v>321</v>
      </c>
      <c r="J1098" s="129" t="str">
        <f t="shared" si="41"/>
        <v>Satin Natural</v>
      </c>
      <c r="K1098" s="129"/>
    </row>
    <row r="1099" spans="7:11" x14ac:dyDescent="0.3">
      <c r="G1099" s="12" t="s">
        <v>19</v>
      </c>
      <c r="H1099" s="12" t="s">
        <v>378</v>
      </c>
      <c r="I1099" s="12" t="s">
        <v>912</v>
      </c>
      <c r="J1099" s="129" t="str">
        <f t="shared" si="41"/>
        <v>Satin Natural w/Accent</v>
      </c>
      <c r="K1099" s="129"/>
    </row>
    <row r="1100" spans="7:11" x14ac:dyDescent="0.3">
      <c r="G1100" s="12" t="s">
        <v>19</v>
      </c>
      <c r="H1100" s="12" t="s">
        <v>378</v>
      </c>
      <c r="I1100" s="12" t="s">
        <v>309</v>
      </c>
      <c r="J1100" s="129" t="str">
        <f t="shared" si="41"/>
        <v>Natural Hoop</v>
      </c>
      <c r="K1100" s="129"/>
    </row>
    <row r="1101" spans="7:11" x14ac:dyDescent="0.3">
      <c r="G1101" s="12" t="s">
        <v>19</v>
      </c>
      <c r="H1101" s="12" t="s">
        <v>378</v>
      </c>
      <c r="I1101" s="12" t="s">
        <v>313</v>
      </c>
      <c r="J1101" s="129" t="str">
        <f t="shared" si="41"/>
        <v>Sable Black</v>
      </c>
      <c r="K1101" s="129"/>
    </row>
    <row r="1102" spans="7:11" x14ac:dyDescent="0.3">
      <c r="G1102" s="12" t="s">
        <v>15</v>
      </c>
      <c r="H1102" s="12" t="s">
        <v>380</v>
      </c>
      <c r="I1102" s="12" t="s">
        <v>902</v>
      </c>
      <c r="J1102" s="129" t="str">
        <f t="shared" si="41"/>
        <v>Satin Sable w/Inlay</v>
      </c>
      <c r="K1102" s="129"/>
    </row>
    <row r="1103" spans="7:11" x14ac:dyDescent="0.3">
      <c r="G1103" s="12" t="s">
        <v>15</v>
      </c>
      <c r="H1103" s="12" t="s">
        <v>380</v>
      </c>
      <c r="I1103" s="12" t="s">
        <v>904</v>
      </c>
      <c r="J1103" s="129" t="str">
        <f t="shared" si="41"/>
        <v>Satin Natural w/Inlay</v>
      </c>
      <c r="K1103" s="129"/>
    </row>
    <row r="1104" spans="7:11" x14ac:dyDescent="0.3">
      <c r="G1104" s="12" t="s">
        <v>15</v>
      </c>
      <c r="H1104" s="12" t="s">
        <v>380</v>
      </c>
      <c r="I1104" s="12" t="s">
        <v>26</v>
      </c>
      <c r="J1104" s="129" t="str">
        <f t="shared" si="41"/>
        <v>Satin Sable</v>
      </c>
      <c r="K1104" s="129"/>
    </row>
    <row r="1105" spans="7:11" x14ac:dyDescent="0.3">
      <c r="G1105" s="12" t="s">
        <v>15</v>
      </c>
      <c r="H1105" s="12" t="s">
        <v>380</v>
      </c>
      <c r="I1105" s="12" t="s">
        <v>914</v>
      </c>
      <c r="J1105" s="129" t="str">
        <f t="shared" si="41"/>
        <v>Satin Sable w/Accent</v>
      </c>
      <c r="K1105" s="129"/>
    </row>
    <row r="1106" spans="7:11" x14ac:dyDescent="0.3">
      <c r="G1106" s="12" t="s">
        <v>15</v>
      </c>
      <c r="H1106" s="12" t="s">
        <v>380</v>
      </c>
      <c r="I1106" s="12" t="s">
        <v>321</v>
      </c>
      <c r="J1106" s="129" t="str">
        <f t="shared" si="41"/>
        <v>Satin Natural</v>
      </c>
      <c r="K1106" s="129"/>
    </row>
    <row r="1107" spans="7:11" x14ac:dyDescent="0.3">
      <c r="G1107" s="12" t="s">
        <v>15</v>
      </c>
      <c r="H1107" s="12" t="s">
        <v>380</v>
      </c>
      <c r="I1107" s="12" t="s">
        <v>912</v>
      </c>
      <c r="J1107" s="129" t="str">
        <f t="shared" si="41"/>
        <v>Satin Natural w/Accent</v>
      </c>
      <c r="K1107" s="129"/>
    </row>
    <row r="1108" spans="7:11" x14ac:dyDescent="0.3">
      <c r="G1108" s="12" t="s">
        <v>15</v>
      </c>
      <c r="H1108" s="12" t="s">
        <v>380</v>
      </c>
      <c r="I1108" s="12" t="s">
        <v>309</v>
      </c>
      <c r="J1108" s="129" t="str">
        <f t="shared" ref="J1108:J1171" si="42">INDEX($C$3:$C$15,MATCH(I1108,$B$3:$B$15,0))</f>
        <v>Natural Hoop</v>
      </c>
      <c r="K1108" s="129"/>
    </row>
    <row r="1109" spans="7:11" x14ac:dyDescent="0.3">
      <c r="G1109" s="12" t="s">
        <v>15</v>
      </c>
      <c r="H1109" s="12" t="s">
        <v>380</v>
      </c>
      <c r="I1109" s="12" t="s">
        <v>907</v>
      </c>
      <c r="J1109" s="129" t="str">
        <f t="shared" si="42"/>
        <v>Natural w/Inlay</v>
      </c>
      <c r="K1109" s="129"/>
    </row>
    <row r="1110" spans="7:11" x14ac:dyDescent="0.3">
      <c r="G1110" s="12" t="s">
        <v>15</v>
      </c>
      <c r="H1110" s="12" t="s">
        <v>380</v>
      </c>
      <c r="I1110" s="12" t="s">
        <v>909</v>
      </c>
      <c r="J1110" s="129" t="str">
        <f t="shared" si="42"/>
        <v>Natural w/Accent</v>
      </c>
      <c r="K1110" s="129"/>
    </row>
    <row r="1111" spans="7:11" x14ac:dyDescent="0.3">
      <c r="G1111" s="12" t="s">
        <v>15</v>
      </c>
      <c r="H1111" s="12" t="s">
        <v>380</v>
      </c>
      <c r="I1111" s="12" t="s">
        <v>313</v>
      </c>
      <c r="J1111" s="129" t="str">
        <f t="shared" si="42"/>
        <v>Sable Black</v>
      </c>
      <c r="K1111" s="129"/>
    </row>
    <row r="1112" spans="7:11" x14ac:dyDescent="0.3">
      <c r="G1112" s="12" t="s">
        <v>16</v>
      </c>
      <c r="H1112" s="12" t="s">
        <v>380</v>
      </c>
      <c r="I1112" s="12" t="s">
        <v>902</v>
      </c>
      <c r="J1112" s="129" t="str">
        <f t="shared" si="42"/>
        <v>Satin Sable w/Inlay</v>
      </c>
      <c r="K1112" s="129"/>
    </row>
    <row r="1113" spans="7:11" x14ac:dyDescent="0.3">
      <c r="G1113" s="12" t="s">
        <v>16</v>
      </c>
      <c r="H1113" s="12" t="s">
        <v>380</v>
      </c>
      <c r="I1113" s="12" t="s">
        <v>904</v>
      </c>
      <c r="J1113" s="129" t="str">
        <f t="shared" si="42"/>
        <v>Satin Natural w/Inlay</v>
      </c>
      <c r="K1113" s="129"/>
    </row>
    <row r="1114" spans="7:11" x14ac:dyDescent="0.3">
      <c r="G1114" s="12" t="s">
        <v>16</v>
      </c>
      <c r="H1114" s="12" t="s">
        <v>380</v>
      </c>
      <c r="I1114" s="12" t="s">
        <v>26</v>
      </c>
      <c r="J1114" s="129" t="str">
        <f t="shared" si="42"/>
        <v>Satin Sable</v>
      </c>
      <c r="K1114" s="129"/>
    </row>
    <row r="1115" spans="7:11" x14ac:dyDescent="0.3">
      <c r="G1115" s="12" t="s">
        <v>16</v>
      </c>
      <c r="H1115" s="12" t="s">
        <v>380</v>
      </c>
      <c r="I1115" s="12" t="s">
        <v>914</v>
      </c>
      <c r="J1115" s="129" t="str">
        <f t="shared" si="42"/>
        <v>Satin Sable w/Accent</v>
      </c>
      <c r="K1115" s="129"/>
    </row>
    <row r="1116" spans="7:11" x14ac:dyDescent="0.3">
      <c r="G1116" s="12" t="s">
        <v>16</v>
      </c>
      <c r="H1116" s="12" t="s">
        <v>380</v>
      </c>
      <c r="I1116" s="12" t="s">
        <v>321</v>
      </c>
      <c r="J1116" s="129" t="str">
        <f t="shared" si="42"/>
        <v>Satin Natural</v>
      </c>
      <c r="K1116" s="129"/>
    </row>
    <row r="1117" spans="7:11" x14ac:dyDescent="0.3">
      <c r="G1117" s="12" t="s">
        <v>16</v>
      </c>
      <c r="H1117" s="12" t="s">
        <v>380</v>
      </c>
      <c r="I1117" s="12" t="s">
        <v>912</v>
      </c>
      <c r="J1117" s="129" t="str">
        <f t="shared" si="42"/>
        <v>Satin Natural w/Accent</v>
      </c>
      <c r="K1117" s="129"/>
    </row>
    <row r="1118" spans="7:11" x14ac:dyDescent="0.3">
      <c r="G1118" s="12" t="s">
        <v>16</v>
      </c>
      <c r="H1118" s="12" t="s">
        <v>380</v>
      </c>
      <c r="I1118" s="12" t="s">
        <v>309</v>
      </c>
      <c r="J1118" s="129" t="str">
        <f t="shared" si="42"/>
        <v>Natural Hoop</v>
      </c>
      <c r="K1118" s="129"/>
    </row>
    <row r="1119" spans="7:11" x14ac:dyDescent="0.3">
      <c r="G1119" s="12" t="s">
        <v>16</v>
      </c>
      <c r="H1119" s="12" t="s">
        <v>380</v>
      </c>
      <c r="I1119" s="12" t="s">
        <v>907</v>
      </c>
      <c r="J1119" s="129" t="str">
        <f t="shared" si="42"/>
        <v>Natural w/Inlay</v>
      </c>
      <c r="K1119" s="129"/>
    </row>
    <row r="1120" spans="7:11" x14ac:dyDescent="0.3">
      <c r="G1120" s="12" t="s">
        <v>16</v>
      </c>
      <c r="H1120" s="12" t="s">
        <v>380</v>
      </c>
      <c r="I1120" s="12" t="s">
        <v>909</v>
      </c>
      <c r="J1120" s="129" t="str">
        <f t="shared" si="42"/>
        <v>Natural w/Accent</v>
      </c>
      <c r="K1120" s="129"/>
    </row>
    <row r="1121" spans="7:11" x14ac:dyDescent="0.3">
      <c r="G1121" s="12" t="s">
        <v>16</v>
      </c>
      <c r="H1121" s="12" t="s">
        <v>380</v>
      </c>
      <c r="I1121" s="12" t="s">
        <v>313</v>
      </c>
      <c r="J1121" s="129" t="str">
        <f t="shared" si="42"/>
        <v>Sable Black</v>
      </c>
      <c r="K1121" s="129"/>
    </row>
    <row r="1122" spans="7:11" x14ac:dyDescent="0.3">
      <c r="G1122" s="12" t="s">
        <v>17</v>
      </c>
      <c r="H1122" s="12" t="s">
        <v>380</v>
      </c>
      <c r="I1122" s="12" t="s">
        <v>902</v>
      </c>
      <c r="J1122" s="129" t="str">
        <f t="shared" si="42"/>
        <v>Satin Sable w/Inlay</v>
      </c>
      <c r="K1122" s="129"/>
    </row>
    <row r="1123" spans="7:11" x14ac:dyDescent="0.3">
      <c r="G1123" s="12" t="s">
        <v>17</v>
      </c>
      <c r="H1123" s="12" t="s">
        <v>380</v>
      </c>
      <c r="I1123" s="12" t="s">
        <v>904</v>
      </c>
      <c r="J1123" s="129" t="str">
        <f t="shared" si="42"/>
        <v>Satin Natural w/Inlay</v>
      </c>
      <c r="K1123" s="129"/>
    </row>
    <row r="1124" spans="7:11" x14ac:dyDescent="0.3">
      <c r="G1124" s="12" t="s">
        <v>17</v>
      </c>
      <c r="H1124" s="12" t="s">
        <v>380</v>
      </c>
      <c r="I1124" s="12" t="s">
        <v>26</v>
      </c>
      <c r="J1124" s="129" t="str">
        <f t="shared" si="42"/>
        <v>Satin Sable</v>
      </c>
      <c r="K1124" s="129"/>
    </row>
    <row r="1125" spans="7:11" x14ac:dyDescent="0.3">
      <c r="G1125" s="12" t="s">
        <v>17</v>
      </c>
      <c r="H1125" s="12" t="s">
        <v>380</v>
      </c>
      <c r="I1125" s="12" t="s">
        <v>914</v>
      </c>
      <c r="J1125" s="129" t="str">
        <f t="shared" si="42"/>
        <v>Satin Sable w/Accent</v>
      </c>
      <c r="K1125" s="129"/>
    </row>
    <row r="1126" spans="7:11" x14ac:dyDescent="0.3">
      <c r="G1126" s="12" t="s">
        <v>17</v>
      </c>
      <c r="H1126" s="12" t="s">
        <v>380</v>
      </c>
      <c r="I1126" s="12" t="s">
        <v>321</v>
      </c>
      <c r="J1126" s="129" t="str">
        <f t="shared" si="42"/>
        <v>Satin Natural</v>
      </c>
      <c r="K1126" s="129"/>
    </row>
    <row r="1127" spans="7:11" x14ac:dyDescent="0.3">
      <c r="G1127" s="12" t="s">
        <v>17</v>
      </c>
      <c r="H1127" s="12" t="s">
        <v>380</v>
      </c>
      <c r="I1127" s="12" t="s">
        <v>912</v>
      </c>
      <c r="J1127" s="129" t="str">
        <f t="shared" si="42"/>
        <v>Satin Natural w/Accent</v>
      </c>
      <c r="K1127" s="129"/>
    </row>
    <row r="1128" spans="7:11" x14ac:dyDescent="0.3">
      <c r="G1128" s="12" t="s">
        <v>17</v>
      </c>
      <c r="H1128" s="12" t="s">
        <v>380</v>
      </c>
      <c r="I1128" s="12" t="s">
        <v>309</v>
      </c>
      <c r="J1128" s="129" t="str">
        <f t="shared" si="42"/>
        <v>Natural Hoop</v>
      </c>
      <c r="K1128" s="129"/>
    </row>
    <row r="1129" spans="7:11" x14ac:dyDescent="0.3">
      <c r="G1129" s="12" t="s">
        <v>17</v>
      </c>
      <c r="H1129" s="12" t="s">
        <v>380</v>
      </c>
      <c r="I1129" s="12" t="s">
        <v>907</v>
      </c>
      <c r="J1129" s="129" t="str">
        <f t="shared" si="42"/>
        <v>Natural w/Inlay</v>
      </c>
      <c r="K1129" s="129"/>
    </row>
    <row r="1130" spans="7:11" x14ac:dyDescent="0.3">
      <c r="G1130" s="12" t="s">
        <v>17</v>
      </c>
      <c r="H1130" s="12" t="s">
        <v>380</v>
      </c>
      <c r="I1130" s="12" t="s">
        <v>909</v>
      </c>
      <c r="J1130" s="129" t="str">
        <f t="shared" si="42"/>
        <v>Natural w/Accent</v>
      </c>
      <c r="K1130" s="129"/>
    </row>
    <row r="1131" spans="7:11" x14ac:dyDescent="0.3">
      <c r="G1131" s="12" t="s">
        <v>17</v>
      </c>
      <c r="H1131" s="12" t="s">
        <v>380</v>
      </c>
      <c r="I1131" s="12" t="s">
        <v>313</v>
      </c>
      <c r="J1131" s="129" t="str">
        <f t="shared" si="42"/>
        <v>Sable Black</v>
      </c>
      <c r="K1131" s="129"/>
    </row>
    <row r="1132" spans="7:11" x14ac:dyDescent="0.3">
      <c r="G1132" s="12" t="s">
        <v>19</v>
      </c>
      <c r="H1132" s="12" t="s">
        <v>380</v>
      </c>
      <c r="I1132" s="12" t="s">
        <v>902</v>
      </c>
      <c r="J1132" s="129" t="str">
        <f t="shared" si="42"/>
        <v>Satin Sable w/Inlay</v>
      </c>
      <c r="K1132" s="129"/>
    </row>
    <row r="1133" spans="7:11" x14ac:dyDescent="0.3">
      <c r="G1133" s="12" t="s">
        <v>19</v>
      </c>
      <c r="H1133" s="12" t="s">
        <v>380</v>
      </c>
      <c r="I1133" s="12" t="s">
        <v>904</v>
      </c>
      <c r="J1133" s="129" t="str">
        <f t="shared" si="42"/>
        <v>Satin Natural w/Inlay</v>
      </c>
      <c r="K1133" s="129"/>
    </row>
    <row r="1134" spans="7:11" x14ac:dyDescent="0.3">
      <c r="G1134" s="12" t="s">
        <v>19</v>
      </c>
      <c r="H1134" s="12" t="s">
        <v>380</v>
      </c>
      <c r="I1134" s="12" t="s">
        <v>26</v>
      </c>
      <c r="J1134" s="129" t="str">
        <f t="shared" si="42"/>
        <v>Satin Sable</v>
      </c>
      <c r="K1134" s="129"/>
    </row>
    <row r="1135" spans="7:11" x14ac:dyDescent="0.3">
      <c r="G1135" s="12" t="s">
        <v>19</v>
      </c>
      <c r="H1135" s="12" t="s">
        <v>380</v>
      </c>
      <c r="I1135" s="12" t="s">
        <v>914</v>
      </c>
      <c r="J1135" s="129" t="str">
        <f t="shared" si="42"/>
        <v>Satin Sable w/Accent</v>
      </c>
      <c r="K1135" s="129"/>
    </row>
    <row r="1136" spans="7:11" x14ac:dyDescent="0.3">
      <c r="G1136" s="12" t="s">
        <v>19</v>
      </c>
      <c r="H1136" s="12" t="s">
        <v>380</v>
      </c>
      <c r="I1136" s="12" t="s">
        <v>321</v>
      </c>
      <c r="J1136" s="129" t="str">
        <f t="shared" si="42"/>
        <v>Satin Natural</v>
      </c>
      <c r="K1136" s="129"/>
    </row>
    <row r="1137" spans="7:11" x14ac:dyDescent="0.3">
      <c r="G1137" s="12" t="s">
        <v>19</v>
      </c>
      <c r="H1137" s="12" t="s">
        <v>380</v>
      </c>
      <c r="I1137" s="12" t="s">
        <v>912</v>
      </c>
      <c r="J1137" s="129" t="str">
        <f t="shared" si="42"/>
        <v>Satin Natural w/Accent</v>
      </c>
      <c r="K1137" s="129"/>
    </row>
    <row r="1138" spans="7:11" x14ac:dyDescent="0.3">
      <c r="G1138" s="12" t="s">
        <v>19</v>
      </c>
      <c r="H1138" s="12" t="s">
        <v>380</v>
      </c>
      <c r="I1138" s="12" t="s">
        <v>309</v>
      </c>
      <c r="J1138" s="129" t="str">
        <f t="shared" si="42"/>
        <v>Natural Hoop</v>
      </c>
      <c r="K1138" s="129"/>
    </row>
    <row r="1139" spans="7:11" x14ac:dyDescent="0.3">
      <c r="G1139" s="12" t="s">
        <v>19</v>
      </c>
      <c r="H1139" s="12" t="s">
        <v>380</v>
      </c>
      <c r="I1139" s="12" t="s">
        <v>313</v>
      </c>
      <c r="J1139" s="129" t="str">
        <f t="shared" si="42"/>
        <v>Sable Black</v>
      </c>
      <c r="K1139" s="129"/>
    </row>
    <row r="1140" spans="7:11" x14ac:dyDescent="0.3">
      <c r="G1140" s="12" t="s">
        <v>15</v>
      </c>
      <c r="H1140" s="12" t="s">
        <v>326</v>
      </c>
      <c r="I1140" s="12" t="s">
        <v>60</v>
      </c>
      <c r="J1140" s="129" t="str">
        <f t="shared" si="42"/>
        <v>Matching Hoop</v>
      </c>
      <c r="K1140" s="129"/>
    </row>
    <row r="1141" spans="7:11" x14ac:dyDescent="0.3">
      <c r="G1141" s="12" t="s">
        <v>15</v>
      </c>
      <c r="H1141" s="12" t="s">
        <v>326</v>
      </c>
      <c r="I1141" s="105" t="s">
        <v>1259</v>
      </c>
      <c r="J1141" s="129" t="str">
        <f t="shared" si="42"/>
        <v>Matching Hoop w/Accent</v>
      </c>
      <c r="K1141" s="129"/>
    </row>
    <row r="1142" spans="7:11" x14ac:dyDescent="0.3">
      <c r="G1142" s="12" t="s">
        <v>15</v>
      </c>
      <c r="H1142" s="12" t="s">
        <v>326</v>
      </c>
      <c r="I1142" s="12" t="s">
        <v>309</v>
      </c>
      <c r="J1142" s="129" t="str">
        <f t="shared" si="42"/>
        <v>Natural Hoop</v>
      </c>
      <c r="K1142" s="129"/>
    </row>
    <row r="1143" spans="7:11" x14ac:dyDescent="0.3">
      <c r="G1143" s="16" t="s">
        <v>16</v>
      </c>
      <c r="H1143" s="12" t="s">
        <v>326</v>
      </c>
      <c r="I1143" s="12" t="s">
        <v>60</v>
      </c>
      <c r="J1143" s="129" t="str">
        <f t="shared" si="42"/>
        <v>Matching Hoop</v>
      </c>
      <c r="K1143" s="129"/>
    </row>
    <row r="1144" spans="7:11" x14ac:dyDescent="0.3">
      <c r="G1144" s="16" t="s">
        <v>16</v>
      </c>
      <c r="H1144" s="12" t="s">
        <v>326</v>
      </c>
      <c r="I1144" s="105" t="s">
        <v>1259</v>
      </c>
      <c r="J1144" s="129" t="str">
        <f t="shared" si="42"/>
        <v>Matching Hoop w/Accent</v>
      </c>
      <c r="K1144" s="129"/>
    </row>
    <row r="1145" spans="7:11" x14ac:dyDescent="0.3">
      <c r="G1145" s="16" t="s">
        <v>16</v>
      </c>
      <c r="H1145" s="12" t="s">
        <v>326</v>
      </c>
      <c r="I1145" s="12" t="s">
        <v>309</v>
      </c>
      <c r="J1145" s="129" t="str">
        <f t="shared" si="42"/>
        <v>Natural Hoop</v>
      </c>
      <c r="K1145" s="129"/>
    </row>
    <row r="1146" spans="7:11" x14ac:dyDescent="0.3">
      <c r="G1146" s="12" t="s">
        <v>17</v>
      </c>
      <c r="H1146" s="12" t="s">
        <v>60</v>
      </c>
      <c r="I1146" s="12" t="s">
        <v>912</v>
      </c>
      <c r="J1146" s="129" t="str">
        <f t="shared" si="42"/>
        <v>Satin Natural w/Accent</v>
      </c>
      <c r="K1146" s="129"/>
    </row>
    <row r="1147" spans="7:11" x14ac:dyDescent="0.3">
      <c r="G1147" s="12" t="s">
        <v>17</v>
      </c>
      <c r="H1147" s="12" t="s">
        <v>60</v>
      </c>
      <c r="I1147" s="12" t="s">
        <v>321</v>
      </c>
      <c r="J1147" s="129" t="str">
        <f t="shared" si="42"/>
        <v>Satin Natural</v>
      </c>
      <c r="K1147" s="129"/>
    </row>
    <row r="1148" spans="7:11" x14ac:dyDescent="0.3">
      <c r="G1148" s="12" t="s">
        <v>15</v>
      </c>
      <c r="H1148" s="12" t="s">
        <v>365</v>
      </c>
      <c r="I1148" s="12" t="s">
        <v>902</v>
      </c>
      <c r="J1148" s="129" t="str">
        <f t="shared" si="42"/>
        <v>Satin Sable w/Inlay</v>
      </c>
      <c r="K1148" s="129"/>
    </row>
    <row r="1149" spans="7:11" x14ac:dyDescent="0.3">
      <c r="G1149" s="12" t="s">
        <v>15</v>
      </c>
      <c r="H1149" s="12" t="s">
        <v>365</v>
      </c>
      <c r="I1149" s="12" t="s">
        <v>904</v>
      </c>
      <c r="J1149" s="129" t="str">
        <f t="shared" si="42"/>
        <v>Satin Natural w/Inlay</v>
      </c>
      <c r="K1149" s="129"/>
    </row>
    <row r="1150" spans="7:11" x14ac:dyDescent="0.3">
      <c r="G1150" s="12" t="s">
        <v>15</v>
      </c>
      <c r="H1150" s="12" t="s">
        <v>365</v>
      </c>
      <c r="I1150" s="12" t="s">
        <v>26</v>
      </c>
      <c r="J1150" s="129" t="str">
        <f t="shared" si="42"/>
        <v>Satin Sable</v>
      </c>
      <c r="K1150" s="129"/>
    </row>
    <row r="1151" spans="7:11" x14ac:dyDescent="0.3">
      <c r="G1151" s="12" t="s">
        <v>15</v>
      </c>
      <c r="H1151" s="12" t="s">
        <v>365</v>
      </c>
      <c r="I1151" s="12" t="s">
        <v>914</v>
      </c>
      <c r="J1151" s="129" t="str">
        <f t="shared" si="42"/>
        <v>Satin Sable w/Accent</v>
      </c>
      <c r="K1151" s="129"/>
    </row>
    <row r="1152" spans="7:11" x14ac:dyDescent="0.3">
      <c r="G1152" s="12" t="s">
        <v>15</v>
      </c>
      <c r="H1152" s="12" t="s">
        <v>365</v>
      </c>
      <c r="I1152" s="12" t="s">
        <v>321</v>
      </c>
      <c r="J1152" s="129" t="str">
        <f t="shared" si="42"/>
        <v>Satin Natural</v>
      </c>
      <c r="K1152" s="129"/>
    </row>
    <row r="1153" spans="7:11" x14ac:dyDescent="0.3">
      <c r="G1153" s="12" t="s">
        <v>15</v>
      </c>
      <c r="H1153" s="12" t="s">
        <v>365</v>
      </c>
      <c r="I1153" s="12" t="s">
        <v>912</v>
      </c>
      <c r="J1153" s="129" t="str">
        <f t="shared" si="42"/>
        <v>Satin Natural w/Accent</v>
      </c>
      <c r="K1153" s="129"/>
    </row>
    <row r="1154" spans="7:11" x14ac:dyDescent="0.3">
      <c r="G1154" s="12" t="s">
        <v>15</v>
      </c>
      <c r="H1154" s="12" t="s">
        <v>365</v>
      </c>
      <c r="I1154" s="12" t="s">
        <v>309</v>
      </c>
      <c r="J1154" s="129" t="str">
        <f t="shared" si="42"/>
        <v>Natural Hoop</v>
      </c>
      <c r="K1154" s="129"/>
    </row>
    <row r="1155" spans="7:11" x14ac:dyDescent="0.3">
      <c r="G1155" s="12" t="s">
        <v>15</v>
      </c>
      <c r="H1155" s="12" t="s">
        <v>365</v>
      </c>
      <c r="I1155" s="12" t="s">
        <v>907</v>
      </c>
      <c r="J1155" s="129" t="str">
        <f t="shared" si="42"/>
        <v>Natural w/Inlay</v>
      </c>
      <c r="K1155" s="129"/>
    </row>
    <row r="1156" spans="7:11" x14ac:dyDescent="0.3">
      <c r="G1156" s="12" t="s">
        <v>15</v>
      </c>
      <c r="H1156" s="12" t="s">
        <v>365</v>
      </c>
      <c r="I1156" s="12" t="s">
        <v>909</v>
      </c>
      <c r="J1156" s="129" t="str">
        <f t="shared" si="42"/>
        <v>Natural w/Accent</v>
      </c>
      <c r="K1156" s="129"/>
    </row>
    <row r="1157" spans="7:11" x14ac:dyDescent="0.3">
      <c r="G1157" s="12" t="s">
        <v>15</v>
      </c>
      <c r="H1157" s="12" t="s">
        <v>365</v>
      </c>
      <c r="I1157" s="12" t="s">
        <v>313</v>
      </c>
      <c r="J1157" s="129" t="str">
        <f t="shared" si="42"/>
        <v>Sable Black</v>
      </c>
      <c r="K1157" s="129"/>
    </row>
    <row r="1158" spans="7:11" x14ac:dyDescent="0.3">
      <c r="G1158" s="12" t="s">
        <v>16</v>
      </c>
      <c r="H1158" s="12" t="s">
        <v>365</v>
      </c>
      <c r="I1158" s="12" t="s">
        <v>902</v>
      </c>
      <c r="J1158" s="129" t="str">
        <f t="shared" si="42"/>
        <v>Satin Sable w/Inlay</v>
      </c>
      <c r="K1158" s="129"/>
    </row>
    <row r="1159" spans="7:11" x14ac:dyDescent="0.3">
      <c r="G1159" s="12" t="s">
        <v>16</v>
      </c>
      <c r="H1159" s="12" t="s">
        <v>365</v>
      </c>
      <c r="I1159" s="12" t="s">
        <v>904</v>
      </c>
      <c r="J1159" s="129" t="str">
        <f t="shared" si="42"/>
        <v>Satin Natural w/Inlay</v>
      </c>
      <c r="K1159" s="129"/>
    </row>
    <row r="1160" spans="7:11" x14ac:dyDescent="0.3">
      <c r="G1160" s="12" t="s">
        <v>16</v>
      </c>
      <c r="H1160" s="12" t="s">
        <v>365</v>
      </c>
      <c r="I1160" s="12" t="s">
        <v>26</v>
      </c>
      <c r="J1160" s="129" t="str">
        <f t="shared" si="42"/>
        <v>Satin Sable</v>
      </c>
      <c r="K1160" s="129"/>
    </row>
    <row r="1161" spans="7:11" x14ac:dyDescent="0.3">
      <c r="G1161" s="12" t="s">
        <v>16</v>
      </c>
      <c r="H1161" s="12" t="s">
        <v>365</v>
      </c>
      <c r="I1161" s="12" t="s">
        <v>914</v>
      </c>
      <c r="J1161" s="129" t="str">
        <f t="shared" si="42"/>
        <v>Satin Sable w/Accent</v>
      </c>
      <c r="K1161" s="129"/>
    </row>
    <row r="1162" spans="7:11" x14ac:dyDescent="0.3">
      <c r="G1162" s="12" t="s">
        <v>16</v>
      </c>
      <c r="H1162" s="12" t="s">
        <v>365</v>
      </c>
      <c r="I1162" s="12" t="s">
        <v>321</v>
      </c>
      <c r="J1162" s="129" t="str">
        <f t="shared" si="42"/>
        <v>Satin Natural</v>
      </c>
      <c r="K1162" s="129"/>
    </row>
    <row r="1163" spans="7:11" x14ac:dyDescent="0.3">
      <c r="G1163" s="12" t="s">
        <v>16</v>
      </c>
      <c r="H1163" s="12" t="s">
        <v>365</v>
      </c>
      <c r="I1163" s="12" t="s">
        <v>912</v>
      </c>
      <c r="J1163" s="129" t="str">
        <f t="shared" si="42"/>
        <v>Satin Natural w/Accent</v>
      </c>
      <c r="K1163" s="129"/>
    </row>
    <row r="1164" spans="7:11" x14ac:dyDescent="0.3">
      <c r="G1164" s="12" t="s">
        <v>16</v>
      </c>
      <c r="H1164" s="12" t="s">
        <v>365</v>
      </c>
      <c r="I1164" s="12" t="s">
        <v>309</v>
      </c>
      <c r="J1164" s="129" t="str">
        <f t="shared" si="42"/>
        <v>Natural Hoop</v>
      </c>
      <c r="K1164" s="129"/>
    </row>
    <row r="1165" spans="7:11" x14ac:dyDescent="0.3">
      <c r="G1165" s="12" t="s">
        <v>16</v>
      </c>
      <c r="H1165" s="12" t="s">
        <v>365</v>
      </c>
      <c r="I1165" s="12" t="s">
        <v>907</v>
      </c>
      <c r="J1165" s="129" t="str">
        <f t="shared" si="42"/>
        <v>Natural w/Inlay</v>
      </c>
      <c r="K1165" s="129"/>
    </row>
    <row r="1166" spans="7:11" x14ac:dyDescent="0.3">
      <c r="G1166" s="12" t="s">
        <v>16</v>
      </c>
      <c r="H1166" s="12" t="s">
        <v>365</v>
      </c>
      <c r="I1166" s="12" t="s">
        <v>909</v>
      </c>
      <c r="J1166" s="129" t="str">
        <f t="shared" si="42"/>
        <v>Natural w/Accent</v>
      </c>
      <c r="K1166" s="129"/>
    </row>
    <row r="1167" spans="7:11" x14ac:dyDescent="0.3">
      <c r="G1167" s="12" t="s">
        <v>16</v>
      </c>
      <c r="H1167" s="12" t="s">
        <v>365</v>
      </c>
      <c r="I1167" s="12" t="s">
        <v>313</v>
      </c>
      <c r="J1167" s="129" t="str">
        <f t="shared" si="42"/>
        <v>Sable Black</v>
      </c>
      <c r="K1167" s="129"/>
    </row>
    <row r="1168" spans="7:11" x14ac:dyDescent="0.3">
      <c r="G1168" s="12" t="s">
        <v>17</v>
      </c>
      <c r="H1168" s="12" t="s">
        <v>365</v>
      </c>
      <c r="I1168" s="12" t="s">
        <v>902</v>
      </c>
      <c r="J1168" s="129" t="str">
        <f t="shared" si="42"/>
        <v>Satin Sable w/Inlay</v>
      </c>
      <c r="K1168" s="129"/>
    </row>
    <row r="1169" spans="7:11" x14ac:dyDescent="0.3">
      <c r="G1169" s="12" t="s">
        <v>17</v>
      </c>
      <c r="H1169" s="12" t="s">
        <v>365</v>
      </c>
      <c r="I1169" s="12" t="s">
        <v>904</v>
      </c>
      <c r="J1169" s="129" t="str">
        <f t="shared" si="42"/>
        <v>Satin Natural w/Inlay</v>
      </c>
      <c r="K1169" s="129"/>
    </row>
    <row r="1170" spans="7:11" x14ac:dyDescent="0.3">
      <c r="G1170" s="12" t="s">
        <v>17</v>
      </c>
      <c r="H1170" s="12" t="s">
        <v>365</v>
      </c>
      <c r="I1170" s="12" t="s">
        <v>26</v>
      </c>
      <c r="J1170" s="129" t="str">
        <f t="shared" si="42"/>
        <v>Satin Sable</v>
      </c>
      <c r="K1170" s="129"/>
    </row>
    <row r="1171" spans="7:11" x14ac:dyDescent="0.3">
      <c r="G1171" s="12" t="s">
        <v>17</v>
      </c>
      <c r="H1171" s="12" t="s">
        <v>365</v>
      </c>
      <c r="I1171" s="12" t="s">
        <v>914</v>
      </c>
      <c r="J1171" s="129" t="str">
        <f t="shared" si="42"/>
        <v>Satin Sable w/Accent</v>
      </c>
      <c r="K1171" s="129"/>
    </row>
    <row r="1172" spans="7:11" x14ac:dyDescent="0.3">
      <c r="G1172" s="12" t="s">
        <v>17</v>
      </c>
      <c r="H1172" s="12" t="s">
        <v>365</v>
      </c>
      <c r="I1172" s="12" t="s">
        <v>321</v>
      </c>
      <c r="J1172" s="129" t="str">
        <f t="shared" ref="J1172:J1235" si="43">INDEX($C$3:$C$15,MATCH(I1172,$B$3:$B$15,0))</f>
        <v>Satin Natural</v>
      </c>
      <c r="K1172" s="129"/>
    </row>
    <row r="1173" spans="7:11" x14ac:dyDescent="0.3">
      <c r="G1173" s="12" t="s">
        <v>17</v>
      </c>
      <c r="H1173" s="12" t="s">
        <v>365</v>
      </c>
      <c r="I1173" s="12" t="s">
        <v>912</v>
      </c>
      <c r="J1173" s="129" t="str">
        <f t="shared" si="43"/>
        <v>Satin Natural w/Accent</v>
      </c>
      <c r="K1173" s="129"/>
    </row>
    <row r="1174" spans="7:11" x14ac:dyDescent="0.3">
      <c r="G1174" s="12" t="s">
        <v>17</v>
      </c>
      <c r="H1174" s="12" t="s">
        <v>365</v>
      </c>
      <c r="I1174" s="12" t="s">
        <v>309</v>
      </c>
      <c r="J1174" s="129" t="str">
        <f t="shared" si="43"/>
        <v>Natural Hoop</v>
      </c>
      <c r="K1174" s="129"/>
    </row>
    <row r="1175" spans="7:11" x14ac:dyDescent="0.3">
      <c r="G1175" s="12" t="s">
        <v>17</v>
      </c>
      <c r="H1175" s="12" t="s">
        <v>365</v>
      </c>
      <c r="I1175" s="12" t="s">
        <v>907</v>
      </c>
      <c r="J1175" s="129" t="str">
        <f t="shared" si="43"/>
        <v>Natural w/Inlay</v>
      </c>
      <c r="K1175" s="129"/>
    </row>
    <row r="1176" spans="7:11" x14ac:dyDescent="0.3">
      <c r="G1176" s="12" t="s">
        <v>17</v>
      </c>
      <c r="H1176" s="12" t="s">
        <v>365</v>
      </c>
      <c r="I1176" s="12" t="s">
        <v>909</v>
      </c>
      <c r="J1176" s="129" t="str">
        <f t="shared" si="43"/>
        <v>Natural w/Accent</v>
      </c>
      <c r="K1176" s="129"/>
    </row>
    <row r="1177" spans="7:11" x14ac:dyDescent="0.3">
      <c r="G1177" s="12" t="s">
        <v>17</v>
      </c>
      <c r="H1177" s="12" t="s">
        <v>365</v>
      </c>
      <c r="I1177" s="12" t="s">
        <v>313</v>
      </c>
      <c r="J1177" s="129" t="str">
        <f t="shared" si="43"/>
        <v>Sable Black</v>
      </c>
      <c r="K1177" s="129"/>
    </row>
    <row r="1178" spans="7:11" x14ac:dyDescent="0.3">
      <c r="G1178" s="12" t="s">
        <v>19</v>
      </c>
      <c r="H1178" s="12" t="s">
        <v>365</v>
      </c>
      <c r="I1178" s="12" t="s">
        <v>902</v>
      </c>
      <c r="J1178" s="129" t="str">
        <f t="shared" si="43"/>
        <v>Satin Sable w/Inlay</v>
      </c>
      <c r="K1178" s="129"/>
    </row>
    <row r="1179" spans="7:11" x14ac:dyDescent="0.3">
      <c r="G1179" s="12" t="s">
        <v>19</v>
      </c>
      <c r="H1179" s="12" t="s">
        <v>365</v>
      </c>
      <c r="I1179" s="12" t="s">
        <v>904</v>
      </c>
      <c r="J1179" s="129" t="str">
        <f t="shared" si="43"/>
        <v>Satin Natural w/Inlay</v>
      </c>
      <c r="K1179" s="129"/>
    </row>
    <row r="1180" spans="7:11" x14ac:dyDescent="0.3">
      <c r="G1180" s="12" t="s">
        <v>19</v>
      </c>
      <c r="H1180" s="12" t="s">
        <v>365</v>
      </c>
      <c r="I1180" s="12" t="s">
        <v>26</v>
      </c>
      <c r="J1180" s="129" t="str">
        <f t="shared" si="43"/>
        <v>Satin Sable</v>
      </c>
      <c r="K1180" s="129"/>
    </row>
    <row r="1181" spans="7:11" x14ac:dyDescent="0.3">
      <c r="G1181" s="12" t="s">
        <v>19</v>
      </c>
      <c r="H1181" s="12" t="s">
        <v>365</v>
      </c>
      <c r="I1181" s="12" t="s">
        <v>914</v>
      </c>
      <c r="J1181" s="129" t="str">
        <f t="shared" si="43"/>
        <v>Satin Sable w/Accent</v>
      </c>
      <c r="K1181" s="129"/>
    </row>
    <row r="1182" spans="7:11" x14ac:dyDescent="0.3">
      <c r="G1182" s="12" t="s">
        <v>19</v>
      </c>
      <c r="H1182" s="12" t="s">
        <v>365</v>
      </c>
      <c r="I1182" s="12" t="s">
        <v>321</v>
      </c>
      <c r="J1182" s="129" t="str">
        <f t="shared" si="43"/>
        <v>Satin Natural</v>
      </c>
      <c r="K1182" s="129"/>
    </row>
    <row r="1183" spans="7:11" x14ac:dyDescent="0.3">
      <c r="G1183" s="12" t="s">
        <v>19</v>
      </c>
      <c r="H1183" s="12" t="s">
        <v>365</v>
      </c>
      <c r="I1183" s="12" t="s">
        <v>912</v>
      </c>
      <c r="J1183" s="129" t="str">
        <f t="shared" si="43"/>
        <v>Satin Natural w/Accent</v>
      </c>
      <c r="K1183" s="129"/>
    </row>
    <row r="1184" spans="7:11" x14ac:dyDescent="0.3">
      <c r="G1184" s="12" t="s">
        <v>19</v>
      </c>
      <c r="H1184" s="12" t="s">
        <v>365</v>
      </c>
      <c r="I1184" s="12" t="s">
        <v>309</v>
      </c>
      <c r="J1184" s="129" t="str">
        <f t="shared" si="43"/>
        <v>Natural Hoop</v>
      </c>
      <c r="K1184" s="129"/>
    </row>
    <row r="1185" spans="7:11" x14ac:dyDescent="0.3">
      <c r="G1185" s="12" t="s">
        <v>19</v>
      </c>
      <c r="H1185" s="12" t="s">
        <v>365</v>
      </c>
      <c r="I1185" s="12" t="s">
        <v>313</v>
      </c>
      <c r="J1185" s="129" t="str">
        <f t="shared" si="43"/>
        <v>Sable Black</v>
      </c>
      <c r="K1185" s="129"/>
    </row>
    <row r="1186" spans="7:11" x14ac:dyDescent="0.3">
      <c r="G1186" s="12" t="s">
        <v>15</v>
      </c>
      <c r="H1186" s="12" t="s">
        <v>382</v>
      </c>
      <c r="I1186" s="12" t="s">
        <v>902</v>
      </c>
      <c r="J1186" s="129" t="str">
        <f t="shared" si="43"/>
        <v>Satin Sable w/Inlay</v>
      </c>
      <c r="K1186" s="129"/>
    </row>
    <row r="1187" spans="7:11" x14ac:dyDescent="0.3">
      <c r="G1187" s="12" t="s">
        <v>15</v>
      </c>
      <c r="H1187" s="12" t="s">
        <v>382</v>
      </c>
      <c r="I1187" s="12" t="s">
        <v>904</v>
      </c>
      <c r="J1187" s="129" t="str">
        <f t="shared" si="43"/>
        <v>Satin Natural w/Inlay</v>
      </c>
      <c r="K1187" s="129"/>
    </row>
    <row r="1188" spans="7:11" x14ac:dyDescent="0.3">
      <c r="G1188" s="12" t="s">
        <v>15</v>
      </c>
      <c r="H1188" s="12" t="s">
        <v>382</v>
      </c>
      <c r="I1188" s="12" t="s">
        <v>26</v>
      </c>
      <c r="J1188" s="129" t="str">
        <f t="shared" si="43"/>
        <v>Satin Sable</v>
      </c>
      <c r="K1188" s="129"/>
    </row>
    <row r="1189" spans="7:11" x14ac:dyDescent="0.3">
      <c r="G1189" s="12" t="s">
        <v>15</v>
      </c>
      <c r="H1189" s="12" t="s">
        <v>382</v>
      </c>
      <c r="I1189" s="12" t="s">
        <v>914</v>
      </c>
      <c r="J1189" s="129" t="str">
        <f t="shared" si="43"/>
        <v>Satin Sable w/Accent</v>
      </c>
      <c r="K1189" s="129"/>
    </row>
    <row r="1190" spans="7:11" x14ac:dyDescent="0.3">
      <c r="G1190" s="12" t="s">
        <v>15</v>
      </c>
      <c r="H1190" s="12" t="s">
        <v>382</v>
      </c>
      <c r="I1190" s="12" t="s">
        <v>321</v>
      </c>
      <c r="J1190" s="129" t="str">
        <f t="shared" si="43"/>
        <v>Satin Natural</v>
      </c>
      <c r="K1190" s="129"/>
    </row>
    <row r="1191" spans="7:11" x14ac:dyDescent="0.3">
      <c r="G1191" s="12" t="s">
        <v>15</v>
      </c>
      <c r="H1191" s="12" t="s">
        <v>382</v>
      </c>
      <c r="I1191" s="12" t="s">
        <v>912</v>
      </c>
      <c r="J1191" s="129" t="str">
        <f t="shared" si="43"/>
        <v>Satin Natural w/Accent</v>
      </c>
      <c r="K1191" s="129"/>
    </row>
    <row r="1192" spans="7:11" x14ac:dyDescent="0.3">
      <c r="G1192" s="12" t="s">
        <v>15</v>
      </c>
      <c r="H1192" s="12" t="s">
        <v>382</v>
      </c>
      <c r="I1192" s="12" t="s">
        <v>309</v>
      </c>
      <c r="J1192" s="129" t="str">
        <f t="shared" si="43"/>
        <v>Natural Hoop</v>
      </c>
      <c r="K1192" s="129"/>
    </row>
    <row r="1193" spans="7:11" x14ac:dyDescent="0.3">
      <c r="G1193" s="12" t="s">
        <v>15</v>
      </c>
      <c r="H1193" s="12" t="s">
        <v>382</v>
      </c>
      <c r="I1193" s="12" t="s">
        <v>907</v>
      </c>
      <c r="J1193" s="129" t="str">
        <f t="shared" si="43"/>
        <v>Natural w/Inlay</v>
      </c>
      <c r="K1193" s="129"/>
    </row>
    <row r="1194" spans="7:11" x14ac:dyDescent="0.3">
      <c r="G1194" s="12" t="s">
        <v>15</v>
      </c>
      <c r="H1194" s="12" t="s">
        <v>382</v>
      </c>
      <c r="I1194" s="12" t="s">
        <v>909</v>
      </c>
      <c r="J1194" s="129" t="str">
        <f t="shared" si="43"/>
        <v>Natural w/Accent</v>
      </c>
      <c r="K1194" s="129"/>
    </row>
    <row r="1195" spans="7:11" x14ac:dyDescent="0.3">
      <c r="G1195" s="12" t="s">
        <v>15</v>
      </c>
      <c r="H1195" s="12" t="s">
        <v>382</v>
      </c>
      <c r="I1195" s="12" t="s">
        <v>313</v>
      </c>
      <c r="J1195" s="129" t="str">
        <f t="shared" si="43"/>
        <v>Sable Black</v>
      </c>
      <c r="K1195" s="129"/>
    </row>
    <row r="1196" spans="7:11" x14ac:dyDescent="0.3">
      <c r="G1196" s="12" t="s">
        <v>16</v>
      </c>
      <c r="H1196" s="12" t="s">
        <v>382</v>
      </c>
      <c r="I1196" s="12" t="s">
        <v>902</v>
      </c>
      <c r="J1196" s="129" t="str">
        <f t="shared" si="43"/>
        <v>Satin Sable w/Inlay</v>
      </c>
      <c r="K1196" s="129"/>
    </row>
    <row r="1197" spans="7:11" x14ac:dyDescent="0.3">
      <c r="G1197" s="12" t="s">
        <v>16</v>
      </c>
      <c r="H1197" s="12" t="s">
        <v>382</v>
      </c>
      <c r="I1197" s="12" t="s">
        <v>904</v>
      </c>
      <c r="J1197" s="129" t="str">
        <f t="shared" si="43"/>
        <v>Satin Natural w/Inlay</v>
      </c>
      <c r="K1197" s="129"/>
    </row>
    <row r="1198" spans="7:11" x14ac:dyDescent="0.3">
      <c r="G1198" s="12" t="s">
        <v>16</v>
      </c>
      <c r="H1198" s="12" t="s">
        <v>382</v>
      </c>
      <c r="I1198" s="12" t="s">
        <v>26</v>
      </c>
      <c r="J1198" s="129" t="str">
        <f t="shared" si="43"/>
        <v>Satin Sable</v>
      </c>
      <c r="K1198" s="129"/>
    </row>
    <row r="1199" spans="7:11" x14ac:dyDescent="0.3">
      <c r="G1199" s="12" t="s">
        <v>16</v>
      </c>
      <c r="H1199" s="12" t="s">
        <v>382</v>
      </c>
      <c r="I1199" s="12" t="s">
        <v>914</v>
      </c>
      <c r="J1199" s="129" t="str">
        <f t="shared" si="43"/>
        <v>Satin Sable w/Accent</v>
      </c>
      <c r="K1199" s="129"/>
    </row>
    <row r="1200" spans="7:11" x14ac:dyDescent="0.3">
      <c r="G1200" s="12" t="s">
        <v>16</v>
      </c>
      <c r="H1200" s="12" t="s">
        <v>382</v>
      </c>
      <c r="I1200" s="12" t="s">
        <v>321</v>
      </c>
      <c r="J1200" s="129" t="str">
        <f t="shared" si="43"/>
        <v>Satin Natural</v>
      </c>
      <c r="K1200" s="129"/>
    </row>
    <row r="1201" spans="7:11" x14ac:dyDescent="0.3">
      <c r="G1201" s="12" t="s">
        <v>16</v>
      </c>
      <c r="H1201" s="12" t="s">
        <v>382</v>
      </c>
      <c r="I1201" s="12" t="s">
        <v>912</v>
      </c>
      <c r="J1201" s="129" t="str">
        <f t="shared" si="43"/>
        <v>Satin Natural w/Accent</v>
      </c>
      <c r="K1201" s="129"/>
    </row>
    <row r="1202" spans="7:11" x14ac:dyDescent="0.3">
      <c r="G1202" s="12" t="s">
        <v>16</v>
      </c>
      <c r="H1202" s="12" t="s">
        <v>382</v>
      </c>
      <c r="I1202" s="12" t="s">
        <v>309</v>
      </c>
      <c r="J1202" s="129" t="str">
        <f t="shared" si="43"/>
        <v>Natural Hoop</v>
      </c>
      <c r="K1202" s="129"/>
    </row>
    <row r="1203" spans="7:11" x14ac:dyDescent="0.3">
      <c r="G1203" s="12" t="s">
        <v>16</v>
      </c>
      <c r="H1203" s="12" t="s">
        <v>382</v>
      </c>
      <c r="I1203" s="12" t="s">
        <v>907</v>
      </c>
      <c r="J1203" s="129" t="str">
        <f t="shared" si="43"/>
        <v>Natural w/Inlay</v>
      </c>
      <c r="K1203" s="129"/>
    </row>
    <row r="1204" spans="7:11" x14ac:dyDescent="0.3">
      <c r="G1204" s="12" t="s">
        <v>16</v>
      </c>
      <c r="H1204" s="12" t="s">
        <v>382</v>
      </c>
      <c r="I1204" s="12" t="s">
        <v>909</v>
      </c>
      <c r="J1204" s="129" t="str">
        <f t="shared" si="43"/>
        <v>Natural w/Accent</v>
      </c>
      <c r="K1204" s="129"/>
    </row>
    <row r="1205" spans="7:11" x14ac:dyDescent="0.3">
      <c r="G1205" s="12" t="s">
        <v>16</v>
      </c>
      <c r="H1205" s="12" t="s">
        <v>382</v>
      </c>
      <c r="I1205" s="12" t="s">
        <v>313</v>
      </c>
      <c r="J1205" s="129" t="str">
        <f t="shared" si="43"/>
        <v>Sable Black</v>
      </c>
      <c r="K1205" s="129"/>
    </row>
    <row r="1206" spans="7:11" x14ac:dyDescent="0.3">
      <c r="G1206" s="12" t="s">
        <v>17</v>
      </c>
      <c r="H1206" s="12" t="s">
        <v>382</v>
      </c>
      <c r="I1206" s="12" t="s">
        <v>902</v>
      </c>
      <c r="J1206" s="129" t="str">
        <f t="shared" si="43"/>
        <v>Satin Sable w/Inlay</v>
      </c>
      <c r="K1206" s="129"/>
    </row>
    <row r="1207" spans="7:11" x14ac:dyDescent="0.3">
      <c r="G1207" s="12" t="s">
        <v>17</v>
      </c>
      <c r="H1207" s="12" t="s">
        <v>382</v>
      </c>
      <c r="I1207" s="12" t="s">
        <v>904</v>
      </c>
      <c r="J1207" s="129" t="str">
        <f t="shared" si="43"/>
        <v>Satin Natural w/Inlay</v>
      </c>
      <c r="K1207" s="129"/>
    </row>
    <row r="1208" spans="7:11" x14ac:dyDescent="0.3">
      <c r="G1208" s="12" t="s">
        <v>17</v>
      </c>
      <c r="H1208" s="12" t="s">
        <v>382</v>
      </c>
      <c r="I1208" s="12" t="s">
        <v>26</v>
      </c>
      <c r="J1208" s="129" t="str">
        <f t="shared" si="43"/>
        <v>Satin Sable</v>
      </c>
      <c r="K1208" s="129"/>
    </row>
    <row r="1209" spans="7:11" x14ac:dyDescent="0.3">
      <c r="G1209" s="12" t="s">
        <v>17</v>
      </c>
      <c r="H1209" s="12" t="s">
        <v>382</v>
      </c>
      <c r="I1209" s="12" t="s">
        <v>914</v>
      </c>
      <c r="J1209" s="129" t="str">
        <f t="shared" si="43"/>
        <v>Satin Sable w/Accent</v>
      </c>
      <c r="K1209" s="129"/>
    </row>
    <row r="1210" spans="7:11" x14ac:dyDescent="0.3">
      <c r="G1210" s="12" t="s">
        <v>17</v>
      </c>
      <c r="H1210" s="12" t="s">
        <v>382</v>
      </c>
      <c r="I1210" s="12" t="s">
        <v>321</v>
      </c>
      <c r="J1210" s="129" t="str">
        <f t="shared" si="43"/>
        <v>Satin Natural</v>
      </c>
      <c r="K1210" s="129"/>
    </row>
    <row r="1211" spans="7:11" x14ac:dyDescent="0.3">
      <c r="G1211" s="12" t="s">
        <v>17</v>
      </c>
      <c r="H1211" s="12" t="s">
        <v>382</v>
      </c>
      <c r="I1211" s="12" t="s">
        <v>912</v>
      </c>
      <c r="J1211" s="129" t="str">
        <f t="shared" si="43"/>
        <v>Satin Natural w/Accent</v>
      </c>
      <c r="K1211" s="129"/>
    </row>
    <row r="1212" spans="7:11" x14ac:dyDescent="0.3">
      <c r="G1212" s="12" t="s">
        <v>17</v>
      </c>
      <c r="H1212" s="12" t="s">
        <v>382</v>
      </c>
      <c r="I1212" s="12" t="s">
        <v>309</v>
      </c>
      <c r="J1212" s="129" t="str">
        <f t="shared" si="43"/>
        <v>Natural Hoop</v>
      </c>
      <c r="K1212" s="129"/>
    </row>
    <row r="1213" spans="7:11" x14ac:dyDescent="0.3">
      <c r="G1213" s="12" t="s">
        <v>17</v>
      </c>
      <c r="H1213" s="12" t="s">
        <v>382</v>
      </c>
      <c r="I1213" s="12" t="s">
        <v>907</v>
      </c>
      <c r="J1213" s="129" t="str">
        <f t="shared" si="43"/>
        <v>Natural w/Inlay</v>
      </c>
      <c r="K1213" s="129"/>
    </row>
    <row r="1214" spans="7:11" x14ac:dyDescent="0.3">
      <c r="G1214" s="12" t="s">
        <v>17</v>
      </c>
      <c r="H1214" s="12" t="s">
        <v>382</v>
      </c>
      <c r="I1214" s="12" t="s">
        <v>909</v>
      </c>
      <c r="J1214" s="129" t="str">
        <f t="shared" si="43"/>
        <v>Natural w/Accent</v>
      </c>
      <c r="K1214" s="129"/>
    </row>
    <row r="1215" spans="7:11" x14ac:dyDescent="0.3">
      <c r="G1215" s="12" t="s">
        <v>17</v>
      </c>
      <c r="H1215" s="12" t="s">
        <v>382</v>
      </c>
      <c r="I1215" s="12" t="s">
        <v>313</v>
      </c>
      <c r="J1215" s="129" t="str">
        <f t="shared" si="43"/>
        <v>Sable Black</v>
      </c>
      <c r="K1215" s="129"/>
    </row>
    <row r="1216" spans="7:11" x14ac:dyDescent="0.3">
      <c r="G1216" s="12" t="s">
        <v>19</v>
      </c>
      <c r="H1216" s="12" t="s">
        <v>382</v>
      </c>
      <c r="I1216" s="12" t="s">
        <v>902</v>
      </c>
      <c r="J1216" s="129" t="str">
        <f t="shared" si="43"/>
        <v>Satin Sable w/Inlay</v>
      </c>
      <c r="K1216" s="129"/>
    </row>
    <row r="1217" spans="7:11" x14ac:dyDescent="0.3">
      <c r="G1217" s="12" t="s">
        <v>19</v>
      </c>
      <c r="H1217" s="12" t="s">
        <v>382</v>
      </c>
      <c r="I1217" s="12" t="s">
        <v>904</v>
      </c>
      <c r="J1217" s="129" t="str">
        <f t="shared" si="43"/>
        <v>Satin Natural w/Inlay</v>
      </c>
      <c r="K1217" s="129"/>
    </row>
    <row r="1218" spans="7:11" x14ac:dyDescent="0.3">
      <c r="G1218" s="12" t="s">
        <v>19</v>
      </c>
      <c r="H1218" s="12" t="s">
        <v>382</v>
      </c>
      <c r="I1218" s="12" t="s">
        <v>26</v>
      </c>
      <c r="J1218" s="129" t="str">
        <f t="shared" si="43"/>
        <v>Satin Sable</v>
      </c>
      <c r="K1218" s="129"/>
    </row>
    <row r="1219" spans="7:11" x14ac:dyDescent="0.3">
      <c r="G1219" s="12" t="s">
        <v>19</v>
      </c>
      <c r="H1219" s="12" t="s">
        <v>382</v>
      </c>
      <c r="I1219" s="12" t="s">
        <v>914</v>
      </c>
      <c r="J1219" s="129" t="str">
        <f t="shared" si="43"/>
        <v>Satin Sable w/Accent</v>
      </c>
      <c r="K1219" s="129"/>
    </row>
    <row r="1220" spans="7:11" x14ac:dyDescent="0.3">
      <c r="G1220" s="12" t="s">
        <v>19</v>
      </c>
      <c r="H1220" s="12" t="s">
        <v>382</v>
      </c>
      <c r="I1220" s="12" t="s">
        <v>321</v>
      </c>
      <c r="J1220" s="129" t="str">
        <f t="shared" si="43"/>
        <v>Satin Natural</v>
      </c>
      <c r="K1220" s="129"/>
    </row>
    <row r="1221" spans="7:11" x14ac:dyDescent="0.3">
      <c r="G1221" s="12" t="s">
        <v>19</v>
      </c>
      <c r="H1221" s="12" t="s">
        <v>382</v>
      </c>
      <c r="I1221" s="12" t="s">
        <v>912</v>
      </c>
      <c r="J1221" s="129" t="str">
        <f t="shared" si="43"/>
        <v>Satin Natural w/Accent</v>
      </c>
      <c r="K1221" s="129"/>
    </row>
    <row r="1222" spans="7:11" x14ac:dyDescent="0.3">
      <c r="G1222" s="12" t="s">
        <v>19</v>
      </c>
      <c r="H1222" s="12" t="s">
        <v>382</v>
      </c>
      <c r="I1222" s="12" t="s">
        <v>309</v>
      </c>
      <c r="J1222" s="129" t="str">
        <f t="shared" si="43"/>
        <v>Natural Hoop</v>
      </c>
      <c r="K1222" s="129"/>
    </row>
    <row r="1223" spans="7:11" x14ac:dyDescent="0.3">
      <c r="G1223" s="12" t="s">
        <v>19</v>
      </c>
      <c r="H1223" s="12" t="s">
        <v>382</v>
      </c>
      <c r="I1223" s="12" t="s">
        <v>313</v>
      </c>
      <c r="J1223" s="129" t="str">
        <f t="shared" si="43"/>
        <v>Sable Black</v>
      </c>
      <c r="K1223" s="129"/>
    </row>
    <row r="1224" spans="7:11" x14ac:dyDescent="0.3">
      <c r="G1224" s="12" t="s">
        <v>15</v>
      </c>
      <c r="H1224" s="12" t="s">
        <v>384</v>
      </c>
      <c r="I1224" s="12" t="s">
        <v>60</v>
      </c>
      <c r="J1224" s="129" t="str">
        <f t="shared" si="43"/>
        <v>Matching Hoop</v>
      </c>
      <c r="K1224" s="129"/>
    </row>
    <row r="1225" spans="7:11" x14ac:dyDescent="0.3">
      <c r="G1225" s="12" t="s">
        <v>15</v>
      </c>
      <c r="H1225" s="12" t="s">
        <v>384</v>
      </c>
      <c r="I1225" s="12" t="s">
        <v>26</v>
      </c>
      <c r="J1225" s="129" t="str">
        <f t="shared" si="43"/>
        <v>Satin Sable</v>
      </c>
      <c r="K1225" s="129"/>
    </row>
    <row r="1226" spans="7:11" x14ac:dyDescent="0.3">
      <c r="G1226" s="12" t="s">
        <v>15</v>
      </c>
      <c r="H1226" s="12" t="s">
        <v>384</v>
      </c>
      <c r="I1226" s="12" t="s">
        <v>914</v>
      </c>
      <c r="J1226" s="129" t="str">
        <f t="shared" si="43"/>
        <v>Satin Sable w/Accent</v>
      </c>
      <c r="K1226" s="129"/>
    </row>
    <row r="1227" spans="7:11" x14ac:dyDescent="0.3">
      <c r="G1227" s="12" t="s">
        <v>15</v>
      </c>
      <c r="H1227" s="12" t="s">
        <v>384</v>
      </c>
      <c r="I1227" s="12" t="s">
        <v>321</v>
      </c>
      <c r="J1227" s="129" t="str">
        <f t="shared" si="43"/>
        <v>Satin Natural</v>
      </c>
      <c r="K1227" s="129"/>
    </row>
    <row r="1228" spans="7:11" x14ac:dyDescent="0.3">
      <c r="G1228" s="12" t="s">
        <v>15</v>
      </c>
      <c r="H1228" s="12" t="s">
        <v>384</v>
      </c>
      <c r="I1228" s="12" t="s">
        <v>912</v>
      </c>
      <c r="J1228" s="129" t="str">
        <f t="shared" si="43"/>
        <v>Satin Natural w/Accent</v>
      </c>
      <c r="K1228" s="129"/>
    </row>
    <row r="1229" spans="7:11" x14ac:dyDescent="0.3">
      <c r="G1229" s="12" t="s">
        <v>15</v>
      </c>
      <c r="H1229" s="12" t="s">
        <v>384</v>
      </c>
      <c r="I1229" s="12" t="s">
        <v>313</v>
      </c>
      <c r="J1229" s="129" t="str">
        <f t="shared" si="43"/>
        <v>Sable Black</v>
      </c>
      <c r="K1229" s="129"/>
    </row>
    <row r="1230" spans="7:11" x14ac:dyDescent="0.3">
      <c r="G1230" s="12" t="s">
        <v>16</v>
      </c>
      <c r="H1230" s="12" t="s">
        <v>384</v>
      </c>
      <c r="I1230" s="12" t="s">
        <v>60</v>
      </c>
      <c r="J1230" s="129" t="str">
        <f t="shared" si="43"/>
        <v>Matching Hoop</v>
      </c>
      <c r="K1230" s="129"/>
    </row>
    <row r="1231" spans="7:11" x14ac:dyDescent="0.3">
      <c r="G1231" s="12" t="s">
        <v>16</v>
      </c>
      <c r="H1231" s="12" t="s">
        <v>384</v>
      </c>
      <c r="I1231" s="12" t="s">
        <v>26</v>
      </c>
      <c r="J1231" s="129" t="str">
        <f t="shared" si="43"/>
        <v>Satin Sable</v>
      </c>
      <c r="K1231" s="129"/>
    </row>
    <row r="1232" spans="7:11" x14ac:dyDescent="0.3">
      <c r="G1232" s="12" t="s">
        <v>16</v>
      </c>
      <c r="H1232" s="12" t="s">
        <v>384</v>
      </c>
      <c r="I1232" s="12" t="s">
        <v>914</v>
      </c>
      <c r="J1232" s="129" t="str">
        <f t="shared" si="43"/>
        <v>Satin Sable w/Accent</v>
      </c>
      <c r="K1232" s="129"/>
    </row>
    <row r="1233" spans="7:11" x14ac:dyDescent="0.3">
      <c r="G1233" s="12" t="s">
        <v>16</v>
      </c>
      <c r="H1233" s="12" t="s">
        <v>384</v>
      </c>
      <c r="I1233" s="12" t="s">
        <v>321</v>
      </c>
      <c r="J1233" s="129" t="str">
        <f t="shared" si="43"/>
        <v>Satin Natural</v>
      </c>
      <c r="K1233" s="129"/>
    </row>
    <row r="1234" spans="7:11" x14ac:dyDescent="0.3">
      <c r="G1234" s="12" t="s">
        <v>16</v>
      </c>
      <c r="H1234" s="12" t="s">
        <v>384</v>
      </c>
      <c r="I1234" s="12" t="s">
        <v>912</v>
      </c>
      <c r="J1234" s="129" t="str">
        <f t="shared" si="43"/>
        <v>Satin Natural w/Accent</v>
      </c>
      <c r="K1234" s="129"/>
    </row>
    <row r="1235" spans="7:11" x14ac:dyDescent="0.3">
      <c r="G1235" s="12" t="s">
        <v>16</v>
      </c>
      <c r="H1235" s="12" t="s">
        <v>384</v>
      </c>
      <c r="I1235" s="12" t="s">
        <v>313</v>
      </c>
      <c r="J1235" s="129" t="str">
        <f t="shared" si="43"/>
        <v>Sable Black</v>
      </c>
      <c r="K1235" s="129"/>
    </row>
    <row r="1236" spans="7:11" x14ac:dyDescent="0.3">
      <c r="G1236" s="12" t="s">
        <v>17</v>
      </c>
      <c r="H1236" s="12" t="s">
        <v>384</v>
      </c>
      <c r="I1236" s="12" t="s">
        <v>60</v>
      </c>
      <c r="J1236" s="129" t="str">
        <f t="shared" ref="J1236:J1299" si="44">INDEX($C$3:$C$15,MATCH(I1236,$B$3:$B$15,0))</f>
        <v>Matching Hoop</v>
      </c>
      <c r="K1236" s="129"/>
    </row>
    <row r="1237" spans="7:11" x14ac:dyDescent="0.3">
      <c r="G1237" s="12" t="s">
        <v>17</v>
      </c>
      <c r="H1237" s="12" t="s">
        <v>384</v>
      </c>
      <c r="I1237" s="12" t="s">
        <v>26</v>
      </c>
      <c r="J1237" s="129" t="str">
        <f t="shared" si="44"/>
        <v>Satin Sable</v>
      </c>
      <c r="K1237" s="129"/>
    </row>
    <row r="1238" spans="7:11" x14ac:dyDescent="0.3">
      <c r="G1238" s="12" t="s">
        <v>17</v>
      </c>
      <c r="H1238" s="12" t="s">
        <v>384</v>
      </c>
      <c r="I1238" s="12" t="s">
        <v>914</v>
      </c>
      <c r="J1238" s="129" t="str">
        <f t="shared" si="44"/>
        <v>Satin Sable w/Accent</v>
      </c>
      <c r="K1238" s="129"/>
    </row>
    <row r="1239" spans="7:11" x14ac:dyDescent="0.3">
      <c r="G1239" s="12" t="s">
        <v>17</v>
      </c>
      <c r="H1239" s="12" t="s">
        <v>384</v>
      </c>
      <c r="I1239" s="12" t="s">
        <v>321</v>
      </c>
      <c r="J1239" s="129" t="str">
        <f t="shared" si="44"/>
        <v>Satin Natural</v>
      </c>
      <c r="K1239" s="129"/>
    </row>
    <row r="1240" spans="7:11" x14ac:dyDescent="0.3">
      <c r="G1240" s="12" t="s">
        <v>17</v>
      </c>
      <c r="H1240" s="12" t="s">
        <v>384</v>
      </c>
      <c r="I1240" s="12" t="s">
        <v>912</v>
      </c>
      <c r="J1240" s="129" t="str">
        <f t="shared" si="44"/>
        <v>Satin Natural w/Accent</v>
      </c>
      <c r="K1240" s="129"/>
    </row>
    <row r="1241" spans="7:11" x14ac:dyDescent="0.3">
      <c r="G1241" s="12" t="s">
        <v>17</v>
      </c>
      <c r="H1241" s="12" t="s">
        <v>384</v>
      </c>
      <c r="I1241" s="12" t="s">
        <v>313</v>
      </c>
      <c r="J1241" s="129" t="str">
        <f t="shared" si="44"/>
        <v>Sable Black</v>
      </c>
      <c r="K1241" s="129"/>
    </row>
    <row r="1242" spans="7:11" x14ac:dyDescent="0.3">
      <c r="G1242" s="12" t="s">
        <v>19</v>
      </c>
      <c r="H1242" s="12" t="s">
        <v>384</v>
      </c>
      <c r="I1242" s="12" t="s">
        <v>60</v>
      </c>
      <c r="J1242" s="129" t="str">
        <f t="shared" si="44"/>
        <v>Matching Hoop</v>
      </c>
      <c r="K1242" s="129"/>
    </row>
    <row r="1243" spans="7:11" x14ac:dyDescent="0.3">
      <c r="G1243" s="12" t="s">
        <v>19</v>
      </c>
      <c r="H1243" s="12" t="s">
        <v>384</v>
      </c>
      <c r="I1243" s="12" t="s">
        <v>26</v>
      </c>
      <c r="J1243" s="129" t="str">
        <f t="shared" si="44"/>
        <v>Satin Sable</v>
      </c>
      <c r="K1243" s="129"/>
    </row>
    <row r="1244" spans="7:11" x14ac:dyDescent="0.3">
      <c r="G1244" s="12" t="s">
        <v>19</v>
      </c>
      <c r="H1244" s="12" t="s">
        <v>384</v>
      </c>
      <c r="I1244" s="12" t="s">
        <v>914</v>
      </c>
      <c r="J1244" s="129" t="str">
        <f t="shared" si="44"/>
        <v>Satin Sable w/Accent</v>
      </c>
      <c r="K1244" s="129"/>
    </row>
    <row r="1245" spans="7:11" x14ac:dyDescent="0.3">
      <c r="G1245" s="12" t="s">
        <v>19</v>
      </c>
      <c r="H1245" s="12" t="s">
        <v>384</v>
      </c>
      <c r="I1245" s="12" t="s">
        <v>321</v>
      </c>
      <c r="J1245" s="129" t="str">
        <f t="shared" si="44"/>
        <v>Satin Natural</v>
      </c>
      <c r="K1245" s="129"/>
    </row>
    <row r="1246" spans="7:11" x14ac:dyDescent="0.3">
      <c r="G1246" s="12" t="s">
        <v>19</v>
      </c>
      <c r="H1246" s="12" t="s">
        <v>384</v>
      </c>
      <c r="I1246" s="12" t="s">
        <v>912</v>
      </c>
      <c r="J1246" s="129" t="str">
        <f t="shared" si="44"/>
        <v>Satin Natural w/Accent</v>
      </c>
      <c r="K1246" s="129"/>
    </row>
    <row r="1247" spans="7:11" x14ac:dyDescent="0.3">
      <c r="G1247" s="12" t="s">
        <v>19</v>
      </c>
      <c r="H1247" s="12" t="s">
        <v>384</v>
      </c>
      <c r="I1247" s="12" t="s">
        <v>313</v>
      </c>
      <c r="J1247" s="129" t="str">
        <f t="shared" si="44"/>
        <v>Sable Black</v>
      </c>
      <c r="K1247" s="129"/>
    </row>
    <row r="1248" spans="7:11" x14ac:dyDescent="0.3">
      <c r="G1248" s="12" t="s">
        <v>15</v>
      </c>
      <c r="H1248" s="16" t="s">
        <v>386</v>
      </c>
      <c r="I1248" s="12" t="s">
        <v>902</v>
      </c>
      <c r="J1248" s="129" t="str">
        <f t="shared" si="44"/>
        <v>Satin Sable w/Inlay</v>
      </c>
      <c r="K1248" s="129"/>
    </row>
    <row r="1249" spans="7:11" x14ac:dyDescent="0.3">
      <c r="G1249" s="12" t="s">
        <v>15</v>
      </c>
      <c r="H1249" s="16" t="s">
        <v>386</v>
      </c>
      <c r="I1249" s="12" t="s">
        <v>904</v>
      </c>
      <c r="J1249" s="129" t="str">
        <f t="shared" si="44"/>
        <v>Satin Natural w/Inlay</v>
      </c>
      <c r="K1249" s="129"/>
    </row>
    <row r="1250" spans="7:11" x14ac:dyDescent="0.3">
      <c r="G1250" s="12" t="s">
        <v>15</v>
      </c>
      <c r="H1250" s="16" t="s">
        <v>386</v>
      </c>
      <c r="I1250" s="12" t="s">
        <v>26</v>
      </c>
      <c r="J1250" s="129" t="str">
        <f t="shared" si="44"/>
        <v>Satin Sable</v>
      </c>
      <c r="K1250" s="129"/>
    </row>
    <row r="1251" spans="7:11" x14ac:dyDescent="0.3">
      <c r="G1251" s="12" t="s">
        <v>15</v>
      </c>
      <c r="H1251" s="16" t="s">
        <v>386</v>
      </c>
      <c r="I1251" s="12" t="s">
        <v>914</v>
      </c>
      <c r="J1251" s="129" t="str">
        <f t="shared" si="44"/>
        <v>Satin Sable w/Accent</v>
      </c>
      <c r="K1251" s="129"/>
    </row>
    <row r="1252" spans="7:11" x14ac:dyDescent="0.3">
      <c r="G1252" s="12" t="s">
        <v>15</v>
      </c>
      <c r="H1252" s="16" t="s">
        <v>386</v>
      </c>
      <c r="I1252" s="12" t="s">
        <v>321</v>
      </c>
      <c r="J1252" s="129" t="str">
        <f t="shared" si="44"/>
        <v>Satin Natural</v>
      </c>
      <c r="K1252" s="129"/>
    </row>
    <row r="1253" spans="7:11" x14ac:dyDescent="0.3">
      <c r="G1253" s="12" t="s">
        <v>15</v>
      </c>
      <c r="H1253" s="16" t="s">
        <v>386</v>
      </c>
      <c r="I1253" s="12" t="s">
        <v>912</v>
      </c>
      <c r="J1253" s="129" t="str">
        <f t="shared" si="44"/>
        <v>Satin Natural w/Accent</v>
      </c>
      <c r="K1253" s="129"/>
    </row>
    <row r="1254" spans="7:11" x14ac:dyDescent="0.3">
      <c r="G1254" s="12" t="s">
        <v>15</v>
      </c>
      <c r="H1254" s="16" t="s">
        <v>386</v>
      </c>
      <c r="I1254" s="12" t="s">
        <v>309</v>
      </c>
      <c r="J1254" s="129" t="str">
        <f t="shared" si="44"/>
        <v>Natural Hoop</v>
      </c>
      <c r="K1254" s="129"/>
    </row>
    <row r="1255" spans="7:11" x14ac:dyDescent="0.3">
      <c r="G1255" s="12" t="s">
        <v>15</v>
      </c>
      <c r="H1255" s="16" t="s">
        <v>386</v>
      </c>
      <c r="I1255" s="12" t="s">
        <v>907</v>
      </c>
      <c r="J1255" s="129" t="str">
        <f t="shared" si="44"/>
        <v>Natural w/Inlay</v>
      </c>
      <c r="K1255" s="129"/>
    </row>
    <row r="1256" spans="7:11" x14ac:dyDescent="0.3">
      <c r="G1256" s="12" t="s">
        <v>15</v>
      </c>
      <c r="H1256" s="16" t="s">
        <v>386</v>
      </c>
      <c r="I1256" s="12" t="s">
        <v>909</v>
      </c>
      <c r="J1256" s="129" t="str">
        <f t="shared" si="44"/>
        <v>Natural w/Accent</v>
      </c>
      <c r="K1256" s="129"/>
    </row>
    <row r="1257" spans="7:11" x14ac:dyDescent="0.3">
      <c r="G1257" s="12" t="s">
        <v>15</v>
      </c>
      <c r="H1257" s="16" t="s">
        <v>386</v>
      </c>
      <c r="I1257" s="12" t="s">
        <v>313</v>
      </c>
      <c r="J1257" s="129" t="str">
        <f t="shared" si="44"/>
        <v>Sable Black</v>
      </c>
      <c r="K1257" s="129"/>
    </row>
    <row r="1258" spans="7:11" x14ac:dyDescent="0.3">
      <c r="G1258" s="12" t="s">
        <v>16</v>
      </c>
      <c r="H1258" s="16" t="s">
        <v>386</v>
      </c>
      <c r="I1258" s="12" t="s">
        <v>902</v>
      </c>
      <c r="J1258" s="129" t="str">
        <f t="shared" si="44"/>
        <v>Satin Sable w/Inlay</v>
      </c>
      <c r="K1258" s="129"/>
    </row>
    <row r="1259" spans="7:11" x14ac:dyDescent="0.3">
      <c r="G1259" s="12" t="s">
        <v>16</v>
      </c>
      <c r="H1259" s="16" t="s">
        <v>386</v>
      </c>
      <c r="I1259" s="12" t="s">
        <v>904</v>
      </c>
      <c r="J1259" s="129" t="str">
        <f t="shared" si="44"/>
        <v>Satin Natural w/Inlay</v>
      </c>
      <c r="K1259" s="129"/>
    </row>
    <row r="1260" spans="7:11" x14ac:dyDescent="0.3">
      <c r="G1260" s="12" t="s">
        <v>16</v>
      </c>
      <c r="H1260" s="16" t="s">
        <v>386</v>
      </c>
      <c r="I1260" s="12" t="s">
        <v>26</v>
      </c>
      <c r="J1260" s="129" t="str">
        <f t="shared" si="44"/>
        <v>Satin Sable</v>
      </c>
      <c r="K1260" s="129"/>
    </row>
    <row r="1261" spans="7:11" x14ac:dyDescent="0.3">
      <c r="G1261" s="12" t="s">
        <v>16</v>
      </c>
      <c r="H1261" s="16" t="s">
        <v>386</v>
      </c>
      <c r="I1261" s="12" t="s">
        <v>914</v>
      </c>
      <c r="J1261" s="129" t="str">
        <f t="shared" si="44"/>
        <v>Satin Sable w/Accent</v>
      </c>
      <c r="K1261" s="129"/>
    </row>
    <row r="1262" spans="7:11" x14ac:dyDescent="0.3">
      <c r="G1262" s="12" t="s">
        <v>16</v>
      </c>
      <c r="H1262" s="16" t="s">
        <v>386</v>
      </c>
      <c r="I1262" s="12" t="s">
        <v>321</v>
      </c>
      <c r="J1262" s="129" t="str">
        <f t="shared" si="44"/>
        <v>Satin Natural</v>
      </c>
      <c r="K1262" s="129"/>
    </row>
    <row r="1263" spans="7:11" x14ac:dyDescent="0.3">
      <c r="G1263" s="12" t="s">
        <v>16</v>
      </c>
      <c r="H1263" s="16" t="s">
        <v>386</v>
      </c>
      <c r="I1263" s="12" t="s">
        <v>912</v>
      </c>
      <c r="J1263" s="129" t="str">
        <f t="shared" si="44"/>
        <v>Satin Natural w/Accent</v>
      </c>
      <c r="K1263" s="129"/>
    </row>
    <row r="1264" spans="7:11" x14ac:dyDescent="0.3">
      <c r="G1264" s="12" t="s">
        <v>16</v>
      </c>
      <c r="H1264" s="16" t="s">
        <v>386</v>
      </c>
      <c r="I1264" s="12" t="s">
        <v>309</v>
      </c>
      <c r="J1264" s="129" t="str">
        <f t="shared" si="44"/>
        <v>Natural Hoop</v>
      </c>
      <c r="K1264" s="129"/>
    </row>
    <row r="1265" spans="7:11" x14ac:dyDescent="0.3">
      <c r="G1265" s="12" t="s">
        <v>16</v>
      </c>
      <c r="H1265" s="16" t="s">
        <v>386</v>
      </c>
      <c r="I1265" s="12" t="s">
        <v>907</v>
      </c>
      <c r="J1265" s="129" t="str">
        <f t="shared" si="44"/>
        <v>Natural w/Inlay</v>
      </c>
      <c r="K1265" s="129"/>
    </row>
    <row r="1266" spans="7:11" x14ac:dyDescent="0.3">
      <c r="G1266" s="12" t="s">
        <v>16</v>
      </c>
      <c r="H1266" s="16" t="s">
        <v>386</v>
      </c>
      <c r="I1266" s="12" t="s">
        <v>909</v>
      </c>
      <c r="J1266" s="129" t="str">
        <f t="shared" si="44"/>
        <v>Natural w/Accent</v>
      </c>
      <c r="K1266" s="129"/>
    </row>
    <row r="1267" spans="7:11" x14ac:dyDescent="0.3">
      <c r="G1267" s="12" t="s">
        <v>16</v>
      </c>
      <c r="H1267" s="16" t="s">
        <v>386</v>
      </c>
      <c r="I1267" s="12" t="s">
        <v>313</v>
      </c>
      <c r="J1267" s="129" t="str">
        <f t="shared" si="44"/>
        <v>Sable Black</v>
      </c>
      <c r="K1267" s="129"/>
    </row>
    <row r="1268" spans="7:11" x14ac:dyDescent="0.3">
      <c r="G1268" s="12" t="s">
        <v>17</v>
      </c>
      <c r="H1268" s="16" t="s">
        <v>386</v>
      </c>
      <c r="I1268" s="12" t="s">
        <v>902</v>
      </c>
      <c r="J1268" s="129" t="str">
        <f t="shared" si="44"/>
        <v>Satin Sable w/Inlay</v>
      </c>
      <c r="K1268" s="129"/>
    </row>
    <row r="1269" spans="7:11" x14ac:dyDescent="0.3">
      <c r="G1269" s="12" t="s">
        <v>17</v>
      </c>
      <c r="H1269" s="16" t="s">
        <v>386</v>
      </c>
      <c r="I1269" s="12" t="s">
        <v>904</v>
      </c>
      <c r="J1269" s="129" t="str">
        <f t="shared" si="44"/>
        <v>Satin Natural w/Inlay</v>
      </c>
      <c r="K1269" s="129"/>
    </row>
    <row r="1270" spans="7:11" x14ac:dyDescent="0.3">
      <c r="G1270" s="12" t="s">
        <v>17</v>
      </c>
      <c r="H1270" s="16" t="s">
        <v>386</v>
      </c>
      <c r="I1270" s="12" t="s">
        <v>26</v>
      </c>
      <c r="J1270" s="129" t="str">
        <f t="shared" si="44"/>
        <v>Satin Sable</v>
      </c>
      <c r="K1270" s="129"/>
    </row>
    <row r="1271" spans="7:11" x14ac:dyDescent="0.3">
      <c r="G1271" s="12" t="s">
        <v>17</v>
      </c>
      <c r="H1271" s="16" t="s">
        <v>386</v>
      </c>
      <c r="I1271" s="12" t="s">
        <v>914</v>
      </c>
      <c r="J1271" s="129" t="str">
        <f t="shared" si="44"/>
        <v>Satin Sable w/Accent</v>
      </c>
      <c r="K1271" s="129"/>
    </row>
    <row r="1272" spans="7:11" x14ac:dyDescent="0.3">
      <c r="G1272" s="12" t="s">
        <v>17</v>
      </c>
      <c r="H1272" s="16" t="s">
        <v>386</v>
      </c>
      <c r="I1272" s="12" t="s">
        <v>321</v>
      </c>
      <c r="J1272" s="129" t="str">
        <f t="shared" si="44"/>
        <v>Satin Natural</v>
      </c>
      <c r="K1272" s="129"/>
    </row>
    <row r="1273" spans="7:11" x14ac:dyDescent="0.3">
      <c r="G1273" s="12" t="s">
        <v>17</v>
      </c>
      <c r="H1273" s="16" t="s">
        <v>386</v>
      </c>
      <c r="I1273" s="12" t="s">
        <v>912</v>
      </c>
      <c r="J1273" s="129" t="str">
        <f t="shared" si="44"/>
        <v>Satin Natural w/Accent</v>
      </c>
      <c r="K1273" s="129"/>
    </row>
    <row r="1274" spans="7:11" x14ac:dyDescent="0.3">
      <c r="G1274" s="12" t="s">
        <v>17</v>
      </c>
      <c r="H1274" s="16" t="s">
        <v>386</v>
      </c>
      <c r="I1274" s="12" t="s">
        <v>309</v>
      </c>
      <c r="J1274" s="129" t="str">
        <f t="shared" si="44"/>
        <v>Natural Hoop</v>
      </c>
      <c r="K1274" s="129"/>
    </row>
    <row r="1275" spans="7:11" x14ac:dyDescent="0.3">
      <c r="G1275" s="12" t="s">
        <v>17</v>
      </c>
      <c r="H1275" s="16" t="s">
        <v>386</v>
      </c>
      <c r="I1275" s="12" t="s">
        <v>907</v>
      </c>
      <c r="J1275" s="129" t="str">
        <f t="shared" si="44"/>
        <v>Natural w/Inlay</v>
      </c>
      <c r="K1275" s="129"/>
    </row>
    <row r="1276" spans="7:11" x14ac:dyDescent="0.3">
      <c r="G1276" s="12" t="s">
        <v>17</v>
      </c>
      <c r="H1276" s="16" t="s">
        <v>386</v>
      </c>
      <c r="I1276" s="12" t="s">
        <v>909</v>
      </c>
      <c r="J1276" s="129" t="str">
        <f t="shared" si="44"/>
        <v>Natural w/Accent</v>
      </c>
      <c r="K1276" s="129"/>
    </row>
    <row r="1277" spans="7:11" x14ac:dyDescent="0.3">
      <c r="G1277" s="12" t="s">
        <v>17</v>
      </c>
      <c r="H1277" s="16" t="s">
        <v>386</v>
      </c>
      <c r="I1277" s="12" t="s">
        <v>313</v>
      </c>
      <c r="J1277" s="129" t="str">
        <f t="shared" si="44"/>
        <v>Sable Black</v>
      </c>
      <c r="K1277" s="129"/>
    </row>
    <row r="1278" spans="7:11" x14ac:dyDescent="0.3">
      <c r="G1278" s="12" t="s">
        <v>19</v>
      </c>
      <c r="H1278" s="16" t="s">
        <v>386</v>
      </c>
      <c r="I1278" s="12" t="s">
        <v>902</v>
      </c>
      <c r="J1278" s="129" t="str">
        <f t="shared" si="44"/>
        <v>Satin Sable w/Inlay</v>
      </c>
      <c r="K1278" s="129"/>
    </row>
    <row r="1279" spans="7:11" x14ac:dyDescent="0.3">
      <c r="G1279" s="12" t="s">
        <v>19</v>
      </c>
      <c r="H1279" s="16" t="s">
        <v>386</v>
      </c>
      <c r="I1279" s="12" t="s">
        <v>904</v>
      </c>
      <c r="J1279" s="129" t="str">
        <f t="shared" si="44"/>
        <v>Satin Natural w/Inlay</v>
      </c>
      <c r="K1279" s="129"/>
    </row>
    <row r="1280" spans="7:11" x14ac:dyDescent="0.3">
      <c r="G1280" s="12" t="s">
        <v>19</v>
      </c>
      <c r="H1280" s="16" t="s">
        <v>386</v>
      </c>
      <c r="I1280" s="12" t="s">
        <v>26</v>
      </c>
      <c r="J1280" s="129" t="str">
        <f t="shared" si="44"/>
        <v>Satin Sable</v>
      </c>
      <c r="K1280" s="129"/>
    </row>
    <row r="1281" spans="7:11" x14ac:dyDescent="0.3">
      <c r="G1281" s="12" t="s">
        <v>19</v>
      </c>
      <c r="H1281" s="16" t="s">
        <v>386</v>
      </c>
      <c r="I1281" s="12" t="s">
        <v>914</v>
      </c>
      <c r="J1281" s="129" t="str">
        <f t="shared" si="44"/>
        <v>Satin Sable w/Accent</v>
      </c>
      <c r="K1281" s="129"/>
    </row>
    <row r="1282" spans="7:11" x14ac:dyDescent="0.3">
      <c r="G1282" s="12" t="s">
        <v>19</v>
      </c>
      <c r="H1282" s="16" t="s">
        <v>386</v>
      </c>
      <c r="I1282" s="12" t="s">
        <v>321</v>
      </c>
      <c r="J1282" s="129" t="str">
        <f t="shared" si="44"/>
        <v>Satin Natural</v>
      </c>
      <c r="K1282" s="129"/>
    </row>
    <row r="1283" spans="7:11" x14ac:dyDescent="0.3">
      <c r="G1283" s="12" t="s">
        <v>19</v>
      </c>
      <c r="H1283" s="16" t="s">
        <v>386</v>
      </c>
      <c r="I1283" s="12" t="s">
        <v>912</v>
      </c>
      <c r="J1283" s="129" t="str">
        <f t="shared" si="44"/>
        <v>Satin Natural w/Accent</v>
      </c>
      <c r="K1283" s="129"/>
    </row>
    <row r="1284" spans="7:11" x14ac:dyDescent="0.3">
      <c r="G1284" s="12" t="s">
        <v>19</v>
      </c>
      <c r="H1284" s="16" t="s">
        <v>386</v>
      </c>
      <c r="I1284" s="12" t="s">
        <v>309</v>
      </c>
      <c r="J1284" s="129" t="str">
        <f t="shared" si="44"/>
        <v>Natural Hoop</v>
      </c>
      <c r="K1284" s="129"/>
    </row>
    <row r="1285" spans="7:11" x14ac:dyDescent="0.3">
      <c r="G1285" s="12" t="s">
        <v>19</v>
      </c>
      <c r="H1285" s="16" t="s">
        <v>386</v>
      </c>
      <c r="I1285" s="12" t="s">
        <v>313</v>
      </c>
      <c r="J1285" s="129" t="str">
        <f t="shared" si="44"/>
        <v>Sable Black</v>
      </c>
      <c r="K1285" s="129"/>
    </row>
    <row r="1286" spans="7:11" x14ac:dyDescent="0.3">
      <c r="G1286" s="12" t="s">
        <v>15</v>
      </c>
      <c r="H1286" s="12" t="s">
        <v>387</v>
      </c>
      <c r="I1286" s="12" t="s">
        <v>902</v>
      </c>
      <c r="J1286" s="129" t="str">
        <f t="shared" si="44"/>
        <v>Satin Sable w/Inlay</v>
      </c>
      <c r="K1286" s="129"/>
    </row>
    <row r="1287" spans="7:11" x14ac:dyDescent="0.3">
      <c r="G1287" s="12" t="s">
        <v>15</v>
      </c>
      <c r="H1287" s="12" t="s">
        <v>387</v>
      </c>
      <c r="I1287" s="12" t="s">
        <v>904</v>
      </c>
      <c r="J1287" s="129" t="str">
        <f t="shared" si="44"/>
        <v>Satin Natural w/Inlay</v>
      </c>
      <c r="K1287" s="129"/>
    </row>
    <row r="1288" spans="7:11" x14ac:dyDescent="0.3">
      <c r="G1288" s="12" t="s">
        <v>15</v>
      </c>
      <c r="H1288" s="12" t="s">
        <v>387</v>
      </c>
      <c r="I1288" s="12" t="s">
        <v>26</v>
      </c>
      <c r="J1288" s="129" t="str">
        <f t="shared" si="44"/>
        <v>Satin Sable</v>
      </c>
      <c r="K1288" s="129"/>
    </row>
    <row r="1289" spans="7:11" x14ac:dyDescent="0.3">
      <c r="G1289" s="12" t="s">
        <v>15</v>
      </c>
      <c r="H1289" s="12" t="s">
        <v>387</v>
      </c>
      <c r="I1289" s="12" t="s">
        <v>914</v>
      </c>
      <c r="J1289" s="129" t="str">
        <f t="shared" si="44"/>
        <v>Satin Sable w/Accent</v>
      </c>
      <c r="K1289" s="129"/>
    </row>
    <row r="1290" spans="7:11" x14ac:dyDescent="0.3">
      <c r="G1290" s="12" t="s">
        <v>15</v>
      </c>
      <c r="H1290" s="12" t="s">
        <v>387</v>
      </c>
      <c r="I1290" s="12" t="s">
        <v>321</v>
      </c>
      <c r="J1290" s="129" t="str">
        <f t="shared" si="44"/>
        <v>Satin Natural</v>
      </c>
      <c r="K1290" s="129"/>
    </row>
    <row r="1291" spans="7:11" x14ac:dyDescent="0.3">
      <c r="G1291" s="12" t="s">
        <v>15</v>
      </c>
      <c r="H1291" s="12" t="s">
        <v>387</v>
      </c>
      <c r="I1291" s="12" t="s">
        <v>912</v>
      </c>
      <c r="J1291" s="129" t="str">
        <f t="shared" si="44"/>
        <v>Satin Natural w/Accent</v>
      </c>
      <c r="K1291" s="129"/>
    </row>
    <row r="1292" spans="7:11" x14ac:dyDescent="0.3">
      <c r="G1292" s="12" t="s">
        <v>15</v>
      </c>
      <c r="H1292" s="12" t="s">
        <v>387</v>
      </c>
      <c r="I1292" s="12" t="s">
        <v>309</v>
      </c>
      <c r="J1292" s="129" t="str">
        <f t="shared" si="44"/>
        <v>Natural Hoop</v>
      </c>
      <c r="K1292" s="129"/>
    </row>
    <row r="1293" spans="7:11" x14ac:dyDescent="0.3">
      <c r="G1293" s="12" t="s">
        <v>15</v>
      </c>
      <c r="H1293" s="12" t="s">
        <v>387</v>
      </c>
      <c r="I1293" s="12" t="s">
        <v>907</v>
      </c>
      <c r="J1293" s="129" t="str">
        <f t="shared" si="44"/>
        <v>Natural w/Inlay</v>
      </c>
      <c r="K1293" s="129"/>
    </row>
    <row r="1294" spans="7:11" x14ac:dyDescent="0.3">
      <c r="G1294" s="12" t="s">
        <v>15</v>
      </c>
      <c r="H1294" s="12" t="s">
        <v>387</v>
      </c>
      <c r="I1294" s="12" t="s">
        <v>909</v>
      </c>
      <c r="J1294" s="129" t="str">
        <f t="shared" si="44"/>
        <v>Natural w/Accent</v>
      </c>
      <c r="K1294" s="129"/>
    </row>
    <row r="1295" spans="7:11" x14ac:dyDescent="0.3">
      <c r="G1295" s="12" t="s">
        <v>15</v>
      </c>
      <c r="H1295" s="12" t="s">
        <v>387</v>
      </c>
      <c r="I1295" s="12" t="s">
        <v>313</v>
      </c>
      <c r="J1295" s="129" t="str">
        <f t="shared" si="44"/>
        <v>Sable Black</v>
      </c>
      <c r="K1295" s="129"/>
    </row>
    <row r="1296" spans="7:11" x14ac:dyDescent="0.3">
      <c r="G1296" s="12" t="s">
        <v>16</v>
      </c>
      <c r="H1296" s="12" t="s">
        <v>387</v>
      </c>
      <c r="I1296" s="12" t="s">
        <v>902</v>
      </c>
      <c r="J1296" s="129" t="str">
        <f t="shared" si="44"/>
        <v>Satin Sable w/Inlay</v>
      </c>
      <c r="K1296" s="129"/>
    </row>
    <row r="1297" spans="7:11" x14ac:dyDescent="0.3">
      <c r="G1297" s="12" t="s">
        <v>16</v>
      </c>
      <c r="H1297" s="12" t="s">
        <v>387</v>
      </c>
      <c r="I1297" s="12" t="s">
        <v>904</v>
      </c>
      <c r="J1297" s="129" t="str">
        <f t="shared" si="44"/>
        <v>Satin Natural w/Inlay</v>
      </c>
      <c r="K1297" s="129"/>
    </row>
    <row r="1298" spans="7:11" x14ac:dyDescent="0.3">
      <c r="G1298" s="12" t="s">
        <v>16</v>
      </c>
      <c r="H1298" s="12" t="s">
        <v>387</v>
      </c>
      <c r="I1298" s="12" t="s">
        <v>26</v>
      </c>
      <c r="J1298" s="129" t="str">
        <f t="shared" si="44"/>
        <v>Satin Sable</v>
      </c>
      <c r="K1298" s="129"/>
    </row>
    <row r="1299" spans="7:11" x14ac:dyDescent="0.3">
      <c r="G1299" s="12" t="s">
        <v>16</v>
      </c>
      <c r="H1299" s="12" t="s">
        <v>387</v>
      </c>
      <c r="I1299" s="12" t="s">
        <v>914</v>
      </c>
      <c r="J1299" s="129" t="str">
        <f t="shared" si="44"/>
        <v>Satin Sable w/Accent</v>
      </c>
      <c r="K1299" s="129"/>
    </row>
    <row r="1300" spans="7:11" x14ac:dyDescent="0.3">
      <c r="G1300" s="12" t="s">
        <v>16</v>
      </c>
      <c r="H1300" s="12" t="s">
        <v>387</v>
      </c>
      <c r="I1300" s="12" t="s">
        <v>321</v>
      </c>
      <c r="J1300" s="129" t="str">
        <f t="shared" ref="J1300:J1363" si="45">INDEX($C$3:$C$15,MATCH(I1300,$B$3:$B$15,0))</f>
        <v>Satin Natural</v>
      </c>
      <c r="K1300" s="129"/>
    </row>
    <row r="1301" spans="7:11" x14ac:dyDescent="0.3">
      <c r="G1301" s="12" t="s">
        <v>16</v>
      </c>
      <c r="H1301" s="12" t="s">
        <v>387</v>
      </c>
      <c r="I1301" s="12" t="s">
        <v>912</v>
      </c>
      <c r="J1301" s="129" t="str">
        <f t="shared" si="45"/>
        <v>Satin Natural w/Accent</v>
      </c>
      <c r="K1301" s="129"/>
    </row>
    <row r="1302" spans="7:11" x14ac:dyDescent="0.3">
      <c r="G1302" s="12" t="s">
        <v>16</v>
      </c>
      <c r="H1302" s="12" t="s">
        <v>387</v>
      </c>
      <c r="I1302" s="12" t="s">
        <v>309</v>
      </c>
      <c r="J1302" s="129" t="str">
        <f t="shared" si="45"/>
        <v>Natural Hoop</v>
      </c>
      <c r="K1302" s="129"/>
    </row>
    <row r="1303" spans="7:11" x14ac:dyDescent="0.3">
      <c r="G1303" s="12" t="s">
        <v>16</v>
      </c>
      <c r="H1303" s="12" t="s">
        <v>387</v>
      </c>
      <c r="I1303" s="12" t="s">
        <v>907</v>
      </c>
      <c r="J1303" s="129" t="str">
        <f t="shared" si="45"/>
        <v>Natural w/Inlay</v>
      </c>
      <c r="K1303" s="129"/>
    </row>
    <row r="1304" spans="7:11" x14ac:dyDescent="0.3">
      <c r="G1304" s="12" t="s">
        <v>16</v>
      </c>
      <c r="H1304" s="12" t="s">
        <v>387</v>
      </c>
      <c r="I1304" s="12" t="s">
        <v>909</v>
      </c>
      <c r="J1304" s="129" t="str">
        <f t="shared" si="45"/>
        <v>Natural w/Accent</v>
      </c>
      <c r="K1304" s="129"/>
    </row>
    <row r="1305" spans="7:11" x14ac:dyDescent="0.3">
      <c r="G1305" s="12" t="s">
        <v>16</v>
      </c>
      <c r="H1305" s="12" t="s">
        <v>387</v>
      </c>
      <c r="I1305" s="12" t="s">
        <v>313</v>
      </c>
      <c r="J1305" s="129" t="str">
        <f t="shared" si="45"/>
        <v>Sable Black</v>
      </c>
      <c r="K1305" s="129"/>
    </row>
    <row r="1306" spans="7:11" x14ac:dyDescent="0.3">
      <c r="G1306" s="12" t="s">
        <v>17</v>
      </c>
      <c r="H1306" s="12" t="s">
        <v>387</v>
      </c>
      <c r="I1306" s="12" t="s">
        <v>902</v>
      </c>
      <c r="J1306" s="129" t="str">
        <f t="shared" si="45"/>
        <v>Satin Sable w/Inlay</v>
      </c>
      <c r="K1306" s="129"/>
    </row>
    <row r="1307" spans="7:11" x14ac:dyDescent="0.3">
      <c r="G1307" s="12" t="s">
        <v>17</v>
      </c>
      <c r="H1307" s="12" t="s">
        <v>387</v>
      </c>
      <c r="I1307" s="12" t="s">
        <v>904</v>
      </c>
      <c r="J1307" s="129" t="str">
        <f t="shared" si="45"/>
        <v>Satin Natural w/Inlay</v>
      </c>
      <c r="K1307" s="129"/>
    </row>
    <row r="1308" spans="7:11" x14ac:dyDescent="0.3">
      <c r="G1308" s="12" t="s">
        <v>17</v>
      </c>
      <c r="H1308" s="12" t="s">
        <v>387</v>
      </c>
      <c r="I1308" s="12" t="s">
        <v>26</v>
      </c>
      <c r="J1308" s="129" t="str">
        <f t="shared" si="45"/>
        <v>Satin Sable</v>
      </c>
      <c r="K1308" s="129"/>
    </row>
    <row r="1309" spans="7:11" x14ac:dyDescent="0.3">
      <c r="G1309" s="12" t="s">
        <v>17</v>
      </c>
      <c r="H1309" s="12" t="s">
        <v>387</v>
      </c>
      <c r="I1309" s="12" t="s">
        <v>914</v>
      </c>
      <c r="J1309" s="129" t="str">
        <f t="shared" si="45"/>
        <v>Satin Sable w/Accent</v>
      </c>
      <c r="K1309" s="129"/>
    </row>
    <row r="1310" spans="7:11" x14ac:dyDescent="0.3">
      <c r="G1310" s="12" t="s">
        <v>17</v>
      </c>
      <c r="H1310" s="12" t="s">
        <v>387</v>
      </c>
      <c r="I1310" s="12" t="s">
        <v>321</v>
      </c>
      <c r="J1310" s="129" t="str">
        <f t="shared" si="45"/>
        <v>Satin Natural</v>
      </c>
      <c r="K1310" s="129"/>
    </row>
    <row r="1311" spans="7:11" x14ac:dyDescent="0.3">
      <c r="G1311" s="12" t="s">
        <v>17</v>
      </c>
      <c r="H1311" s="12" t="s">
        <v>387</v>
      </c>
      <c r="I1311" s="12" t="s">
        <v>912</v>
      </c>
      <c r="J1311" s="129" t="str">
        <f t="shared" si="45"/>
        <v>Satin Natural w/Accent</v>
      </c>
      <c r="K1311" s="129"/>
    </row>
    <row r="1312" spans="7:11" x14ac:dyDescent="0.3">
      <c r="G1312" s="12" t="s">
        <v>17</v>
      </c>
      <c r="H1312" s="12" t="s">
        <v>387</v>
      </c>
      <c r="I1312" s="12" t="s">
        <v>309</v>
      </c>
      <c r="J1312" s="129" t="str">
        <f t="shared" si="45"/>
        <v>Natural Hoop</v>
      </c>
      <c r="K1312" s="129"/>
    </row>
    <row r="1313" spans="7:11" x14ac:dyDescent="0.3">
      <c r="G1313" s="12" t="s">
        <v>17</v>
      </c>
      <c r="H1313" s="12" t="s">
        <v>387</v>
      </c>
      <c r="I1313" s="12" t="s">
        <v>907</v>
      </c>
      <c r="J1313" s="129" t="str">
        <f t="shared" si="45"/>
        <v>Natural w/Inlay</v>
      </c>
      <c r="K1313" s="129"/>
    </row>
    <row r="1314" spans="7:11" x14ac:dyDescent="0.3">
      <c r="G1314" s="12" t="s">
        <v>17</v>
      </c>
      <c r="H1314" s="12" t="s">
        <v>387</v>
      </c>
      <c r="I1314" s="12" t="s">
        <v>909</v>
      </c>
      <c r="J1314" s="129" t="str">
        <f t="shared" si="45"/>
        <v>Natural w/Accent</v>
      </c>
      <c r="K1314" s="129"/>
    </row>
    <row r="1315" spans="7:11" x14ac:dyDescent="0.3">
      <c r="G1315" s="12" t="s">
        <v>17</v>
      </c>
      <c r="H1315" s="12" t="s">
        <v>387</v>
      </c>
      <c r="I1315" s="12" t="s">
        <v>313</v>
      </c>
      <c r="J1315" s="129" t="str">
        <f t="shared" si="45"/>
        <v>Sable Black</v>
      </c>
      <c r="K1315" s="129"/>
    </row>
    <row r="1316" spans="7:11" x14ac:dyDescent="0.3">
      <c r="G1316" s="12" t="s">
        <v>19</v>
      </c>
      <c r="H1316" s="12" t="s">
        <v>387</v>
      </c>
      <c r="I1316" s="12" t="s">
        <v>902</v>
      </c>
      <c r="J1316" s="129" t="str">
        <f t="shared" si="45"/>
        <v>Satin Sable w/Inlay</v>
      </c>
      <c r="K1316" s="129"/>
    </row>
    <row r="1317" spans="7:11" x14ac:dyDescent="0.3">
      <c r="G1317" s="12" t="s">
        <v>19</v>
      </c>
      <c r="H1317" s="12" t="s">
        <v>387</v>
      </c>
      <c r="I1317" s="12" t="s">
        <v>904</v>
      </c>
      <c r="J1317" s="129" t="str">
        <f t="shared" si="45"/>
        <v>Satin Natural w/Inlay</v>
      </c>
      <c r="K1317" s="129"/>
    </row>
    <row r="1318" spans="7:11" x14ac:dyDescent="0.3">
      <c r="G1318" s="12" t="s">
        <v>19</v>
      </c>
      <c r="H1318" s="12" t="s">
        <v>387</v>
      </c>
      <c r="I1318" s="12" t="s">
        <v>26</v>
      </c>
      <c r="J1318" s="129" t="str">
        <f t="shared" si="45"/>
        <v>Satin Sable</v>
      </c>
      <c r="K1318" s="129"/>
    </row>
    <row r="1319" spans="7:11" x14ac:dyDescent="0.3">
      <c r="G1319" s="12" t="s">
        <v>19</v>
      </c>
      <c r="H1319" s="12" t="s">
        <v>387</v>
      </c>
      <c r="I1319" s="12" t="s">
        <v>914</v>
      </c>
      <c r="J1319" s="129" t="str">
        <f t="shared" si="45"/>
        <v>Satin Sable w/Accent</v>
      </c>
      <c r="K1319" s="129"/>
    </row>
    <row r="1320" spans="7:11" x14ac:dyDescent="0.3">
      <c r="G1320" s="12" t="s">
        <v>19</v>
      </c>
      <c r="H1320" s="12" t="s">
        <v>387</v>
      </c>
      <c r="I1320" s="12" t="s">
        <v>321</v>
      </c>
      <c r="J1320" s="129" t="str">
        <f t="shared" si="45"/>
        <v>Satin Natural</v>
      </c>
      <c r="K1320" s="129"/>
    </row>
    <row r="1321" spans="7:11" x14ac:dyDescent="0.3">
      <c r="G1321" s="12" t="s">
        <v>19</v>
      </c>
      <c r="H1321" s="12" t="s">
        <v>387</v>
      </c>
      <c r="I1321" s="12" t="s">
        <v>912</v>
      </c>
      <c r="J1321" s="129" t="str">
        <f t="shared" si="45"/>
        <v>Satin Natural w/Accent</v>
      </c>
      <c r="K1321" s="129"/>
    </row>
    <row r="1322" spans="7:11" x14ac:dyDescent="0.3">
      <c r="G1322" s="12" t="s">
        <v>19</v>
      </c>
      <c r="H1322" s="12" t="s">
        <v>387</v>
      </c>
      <c r="I1322" s="12" t="s">
        <v>309</v>
      </c>
      <c r="J1322" s="129" t="str">
        <f t="shared" si="45"/>
        <v>Natural Hoop</v>
      </c>
      <c r="K1322" s="129"/>
    </row>
    <row r="1323" spans="7:11" x14ac:dyDescent="0.3">
      <c r="G1323" s="12" t="s">
        <v>19</v>
      </c>
      <c r="H1323" s="12" t="s">
        <v>387</v>
      </c>
      <c r="I1323" s="12" t="s">
        <v>313</v>
      </c>
      <c r="J1323" s="129" t="str">
        <f t="shared" si="45"/>
        <v>Sable Black</v>
      </c>
      <c r="K1323" s="129"/>
    </row>
    <row r="1324" spans="7:11" x14ac:dyDescent="0.3">
      <c r="G1324" s="12" t="s">
        <v>15</v>
      </c>
      <c r="H1324" s="12" t="s">
        <v>329</v>
      </c>
      <c r="I1324" s="12" t="s">
        <v>60</v>
      </c>
      <c r="J1324" s="129" t="str">
        <f t="shared" si="45"/>
        <v>Matching Hoop</v>
      </c>
      <c r="K1324" s="129"/>
    </row>
    <row r="1325" spans="7:11" x14ac:dyDescent="0.3">
      <c r="G1325" s="12" t="s">
        <v>15</v>
      </c>
      <c r="H1325" s="12" t="s">
        <v>329</v>
      </c>
      <c r="I1325" s="105" t="s">
        <v>1259</v>
      </c>
      <c r="J1325" s="129" t="str">
        <f t="shared" si="45"/>
        <v>Matching Hoop w/Accent</v>
      </c>
      <c r="K1325" s="129"/>
    </row>
    <row r="1326" spans="7:11" x14ac:dyDescent="0.3">
      <c r="G1326" s="12" t="s">
        <v>15</v>
      </c>
      <c r="H1326" s="12" t="s">
        <v>329</v>
      </c>
      <c r="I1326" s="12" t="s">
        <v>309</v>
      </c>
      <c r="J1326" s="129" t="str">
        <f t="shared" si="45"/>
        <v>Natural Hoop</v>
      </c>
      <c r="K1326" s="129"/>
    </row>
    <row r="1327" spans="7:11" x14ac:dyDescent="0.3">
      <c r="G1327" s="12" t="s">
        <v>15</v>
      </c>
      <c r="H1327" s="12" t="s">
        <v>329</v>
      </c>
      <c r="I1327" s="12" t="s">
        <v>26</v>
      </c>
      <c r="J1327" s="129" t="str">
        <f t="shared" si="45"/>
        <v>Satin Sable</v>
      </c>
      <c r="K1327" s="129"/>
    </row>
    <row r="1328" spans="7:11" x14ac:dyDescent="0.3">
      <c r="G1328" s="12" t="s">
        <v>15</v>
      </c>
      <c r="H1328" s="12" t="s">
        <v>329</v>
      </c>
      <c r="I1328" s="12" t="s">
        <v>914</v>
      </c>
      <c r="J1328" s="129" t="str">
        <f t="shared" si="45"/>
        <v>Satin Sable w/Accent</v>
      </c>
      <c r="K1328" s="129"/>
    </row>
    <row r="1329" spans="7:11" x14ac:dyDescent="0.3">
      <c r="G1329" s="12" t="s">
        <v>15</v>
      </c>
      <c r="H1329" s="12" t="s">
        <v>329</v>
      </c>
      <c r="I1329" s="12" t="s">
        <v>321</v>
      </c>
      <c r="J1329" s="129" t="str">
        <f t="shared" si="45"/>
        <v>Satin Natural</v>
      </c>
      <c r="K1329" s="129"/>
    </row>
    <row r="1330" spans="7:11" x14ac:dyDescent="0.3">
      <c r="G1330" s="12" t="s">
        <v>15</v>
      </c>
      <c r="H1330" s="12" t="s">
        <v>329</v>
      </c>
      <c r="I1330" s="12" t="s">
        <v>912</v>
      </c>
      <c r="J1330" s="129" t="str">
        <f t="shared" si="45"/>
        <v>Satin Natural w/Accent</v>
      </c>
      <c r="K1330" s="129"/>
    </row>
    <row r="1331" spans="7:11" x14ac:dyDescent="0.3">
      <c r="G1331" s="12" t="s">
        <v>15</v>
      </c>
      <c r="H1331" s="12" t="s">
        <v>329</v>
      </c>
      <c r="I1331" s="12" t="s">
        <v>909</v>
      </c>
      <c r="J1331" s="129" t="str">
        <f t="shared" si="45"/>
        <v>Natural w/Accent</v>
      </c>
      <c r="K1331" s="129"/>
    </row>
    <row r="1332" spans="7:11" x14ac:dyDescent="0.3">
      <c r="G1332" s="16" t="s">
        <v>16</v>
      </c>
      <c r="H1332" s="12" t="s">
        <v>329</v>
      </c>
      <c r="I1332" s="12" t="s">
        <v>60</v>
      </c>
      <c r="J1332" s="129" t="str">
        <f t="shared" si="45"/>
        <v>Matching Hoop</v>
      </c>
      <c r="K1332" s="129"/>
    </row>
    <row r="1333" spans="7:11" x14ac:dyDescent="0.3">
      <c r="G1333" s="16" t="s">
        <v>16</v>
      </c>
      <c r="H1333" s="12" t="s">
        <v>329</v>
      </c>
      <c r="I1333" s="105" t="s">
        <v>1259</v>
      </c>
      <c r="J1333" s="129" t="str">
        <f t="shared" si="45"/>
        <v>Matching Hoop w/Accent</v>
      </c>
      <c r="K1333" s="129"/>
    </row>
    <row r="1334" spans="7:11" x14ac:dyDescent="0.3">
      <c r="G1334" s="16" t="s">
        <v>16</v>
      </c>
      <c r="H1334" s="12" t="s">
        <v>329</v>
      </c>
      <c r="I1334" s="12" t="s">
        <v>309</v>
      </c>
      <c r="J1334" s="129" t="str">
        <f t="shared" si="45"/>
        <v>Natural Hoop</v>
      </c>
      <c r="K1334" s="129"/>
    </row>
    <row r="1335" spans="7:11" x14ac:dyDescent="0.3">
      <c r="G1335" s="16" t="s">
        <v>16</v>
      </c>
      <c r="H1335" s="12" t="s">
        <v>329</v>
      </c>
      <c r="I1335" s="12" t="s">
        <v>26</v>
      </c>
      <c r="J1335" s="129" t="str">
        <f t="shared" si="45"/>
        <v>Satin Sable</v>
      </c>
      <c r="K1335" s="129"/>
    </row>
    <row r="1336" spans="7:11" x14ac:dyDescent="0.3">
      <c r="G1336" s="16" t="s">
        <v>16</v>
      </c>
      <c r="H1336" s="12" t="s">
        <v>329</v>
      </c>
      <c r="I1336" s="12" t="s">
        <v>914</v>
      </c>
      <c r="J1336" s="129" t="str">
        <f t="shared" si="45"/>
        <v>Satin Sable w/Accent</v>
      </c>
      <c r="K1336" s="129"/>
    </row>
    <row r="1337" spans="7:11" x14ac:dyDescent="0.3">
      <c r="G1337" s="16" t="s">
        <v>16</v>
      </c>
      <c r="H1337" s="12" t="s">
        <v>329</v>
      </c>
      <c r="I1337" s="12" t="s">
        <v>321</v>
      </c>
      <c r="J1337" s="129" t="str">
        <f t="shared" si="45"/>
        <v>Satin Natural</v>
      </c>
      <c r="K1337" s="129"/>
    </row>
    <row r="1338" spans="7:11" x14ac:dyDescent="0.3">
      <c r="G1338" s="16" t="s">
        <v>16</v>
      </c>
      <c r="H1338" s="12" t="s">
        <v>329</v>
      </c>
      <c r="I1338" s="12" t="s">
        <v>912</v>
      </c>
      <c r="J1338" s="129" t="str">
        <f t="shared" si="45"/>
        <v>Satin Natural w/Accent</v>
      </c>
      <c r="K1338" s="129"/>
    </row>
    <row r="1339" spans="7:11" x14ac:dyDescent="0.3">
      <c r="G1339" s="16" t="s">
        <v>16</v>
      </c>
      <c r="H1339" s="12" t="s">
        <v>329</v>
      </c>
      <c r="I1339" s="12" t="s">
        <v>909</v>
      </c>
      <c r="J1339" s="129" t="str">
        <f t="shared" si="45"/>
        <v>Natural w/Accent</v>
      </c>
      <c r="K1339" s="129"/>
    </row>
    <row r="1340" spans="7:11" x14ac:dyDescent="0.3">
      <c r="G1340" s="12" t="s">
        <v>15</v>
      </c>
      <c r="H1340" s="12" t="s">
        <v>282</v>
      </c>
      <c r="I1340" s="12" t="s">
        <v>902</v>
      </c>
      <c r="J1340" s="129" t="str">
        <f t="shared" si="45"/>
        <v>Satin Sable w/Inlay</v>
      </c>
      <c r="K1340" s="129"/>
    </row>
    <row r="1341" spans="7:11" x14ac:dyDescent="0.3">
      <c r="G1341" s="12" t="s">
        <v>15</v>
      </c>
      <c r="H1341" s="12" t="s">
        <v>282</v>
      </c>
      <c r="I1341" s="12" t="s">
        <v>904</v>
      </c>
      <c r="J1341" s="129" t="str">
        <f t="shared" si="45"/>
        <v>Satin Natural w/Inlay</v>
      </c>
      <c r="K1341" s="129"/>
    </row>
    <row r="1342" spans="7:11" x14ac:dyDescent="0.3">
      <c r="G1342" s="12" t="s">
        <v>15</v>
      </c>
      <c r="H1342" s="12" t="s">
        <v>282</v>
      </c>
      <c r="I1342" s="12" t="s">
        <v>26</v>
      </c>
      <c r="J1342" s="129" t="str">
        <f t="shared" si="45"/>
        <v>Satin Sable</v>
      </c>
      <c r="K1342" s="129"/>
    </row>
    <row r="1343" spans="7:11" x14ac:dyDescent="0.3">
      <c r="G1343" s="12" t="s">
        <v>15</v>
      </c>
      <c r="H1343" s="12" t="s">
        <v>282</v>
      </c>
      <c r="I1343" s="12" t="s">
        <v>914</v>
      </c>
      <c r="J1343" s="129" t="str">
        <f t="shared" si="45"/>
        <v>Satin Sable w/Accent</v>
      </c>
      <c r="K1343" s="129"/>
    </row>
    <row r="1344" spans="7:11" x14ac:dyDescent="0.3">
      <c r="G1344" s="12" t="s">
        <v>15</v>
      </c>
      <c r="H1344" s="12" t="s">
        <v>282</v>
      </c>
      <c r="I1344" s="12" t="s">
        <v>321</v>
      </c>
      <c r="J1344" s="129" t="str">
        <f t="shared" si="45"/>
        <v>Satin Natural</v>
      </c>
      <c r="K1344" s="129"/>
    </row>
    <row r="1345" spans="7:11" x14ac:dyDescent="0.3">
      <c r="G1345" s="12" t="s">
        <v>15</v>
      </c>
      <c r="H1345" s="12" t="s">
        <v>282</v>
      </c>
      <c r="I1345" s="12" t="s">
        <v>912</v>
      </c>
      <c r="J1345" s="129" t="str">
        <f t="shared" si="45"/>
        <v>Satin Natural w/Accent</v>
      </c>
      <c r="K1345" s="129"/>
    </row>
    <row r="1346" spans="7:11" x14ac:dyDescent="0.3">
      <c r="G1346" s="12" t="s">
        <v>15</v>
      </c>
      <c r="H1346" s="12" t="s">
        <v>282</v>
      </c>
      <c r="I1346" s="12" t="s">
        <v>309</v>
      </c>
      <c r="J1346" s="129" t="str">
        <f t="shared" si="45"/>
        <v>Natural Hoop</v>
      </c>
      <c r="K1346" s="129"/>
    </row>
    <row r="1347" spans="7:11" x14ac:dyDescent="0.3">
      <c r="G1347" s="12" t="s">
        <v>15</v>
      </c>
      <c r="H1347" s="12" t="s">
        <v>282</v>
      </c>
      <c r="I1347" s="12" t="s">
        <v>907</v>
      </c>
      <c r="J1347" s="129" t="str">
        <f t="shared" si="45"/>
        <v>Natural w/Inlay</v>
      </c>
      <c r="K1347" s="129"/>
    </row>
    <row r="1348" spans="7:11" x14ac:dyDescent="0.3">
      <c r="G1348" s="12" t="s">
        <v>15</v>
      </c>
      <c r="H1348" s="12" t="s">
        <v>282</v>
      </c>
      <c r="I1348" s="12" t="s">
        <v>909</v>
      </c>
      <c r="J1348" s="129" t="str">
        <f t="shared" si="45"/>
        <v>Natural w/Accent</v>
      </c>
      <c r="K1348" s="129"/>
    </row>
    <row r="1349" spans="7:11" x14ac:dyDescent="0.3">
      <c r="G1349" s="12" t="s">
        <v>15</v>
      </c>
      <c r="H1349" s="12" t="s">
        <v>282</v>
      </c>
      <c r="I1349" s="12" t="s">
        <v>313</v>
      </c>
      <c r="J1349" s="129" t="str">
        <f t="shared" si="45"/>
        <v>Sable Black</v>
      </c>
      <c r="K1349" s="129"/>
    </row>
    <row r="1350" spans="7:11" x14ac:dyDescent="0.3">
      <c r="G1350" s="12" t="s">
        <v>16</v>
      </c>
      <c r="H1350" s="12" t="s">
        <v>282</v>
      </c>
      <c r="I1350" s="12" t="s">
        <v>902</v>
      </c>
      <c r="J1350" s="129" t="str">
        <f t="shared" si="45"/>
        <v>Satin Sable w/Inlay</v>
      </c>
      <c r="K1350" s="129"/>
    </row>
    <row r="1351" spans="7:11" x14ac:dyDescent="0.3">
      <c r="G1351" s="12" t="s">
        <v>16</v>
      </c>
      <c r="H1351" s="12" t="s">
        <v>282</v>
      </c>
      <c r="I1351" s="12" t="s">
        <v>904</v>
      </c>
      <c r="J1351" s="129" t="str">
        <f t="shared" si="45"/>
        <v>Satin Natural w/Inlay</v>
      </c>
      <c r="K1351" s="129"/>
    </row>
    <row r="1352" spans="7:11" x14ac:dyDescent="0.3">
      <c r="G1352" s="12" t="s">
        <v>16</v>
      </c>
      <c r="H1352" s="12" t="s">
        <v>282</v>
      </c>
      <c r="I1352" s="12" t="s">
        <v>26</v>
      </c>
      <c r="J1352" s="129" t="str">
        <f t="shared" si="45"/>
        <v>Satin Sable</v>
      </c>
      <c r="K1352" s="129"/>
    </row>
    <row r="1353" spans="7:11" x14ac:dyDescent="0.3">
      <c r="G1353" s="12" t="s">
        <v>16</v>
      </c>
      <c r="H1353" s="12" t="s">
        <v>282</v>
      </c>
      <c r="I1353" s="12" t="s">
        <v>914</v>
      </c>
      <c r="J1353" s="129" t="str">
        <f t="shared" si="45"/>
        <v>Satin Sable w/Accent</v>
      </c>
      <c r="K1353" s="129"/>
    </row>
    <row r="1354" spans="7:11" x14ac:dyDescent="0.3">
      <c r="G1354" s="12" t="s">
        <v>16</v>
      </c>
      <c r="H1354" s="12" t="s">
        <v>282</v>
      </c>
      <c r="I1354" s="12" t="s">
        <v>321</v>
      </c>
      <c r="J1354" s="129" t="str">
        <f t="shared" si="45"/>
        <v>Satin Natural</v>
      </c>
      <c r="K1354" s="129"/>
    </row>
    <row r="1355" spans="7:11" x14ac:dyDescent="0.3">
      <c r="G1355" s="12" t="s">
        <v>16</v>
      </c>
      <c r="H1355" s="12" t="s">
        <v>282</v>
      </c>
      <c r="I1355" s="12" t="s">
        <v>912</v>
      </c>
      <c r="J1355" s="129" t="str">
        <f t="shared" si="45"/>
        <v>Satin Natural w/Accent</v>
      </c>
      <c r="K1355" s="129"/>
    </row>
    <row r="1356" spans="7:11" x14ac:dyDescent="0.3">
      <c r="G1356" s="12" t="s">
        <v>16</v>
      </c>
      <c r="H1356" s="12" t="s">
        <v>282</v>
      </c>
      <c r="I1356" s="12" t="s">
        <v>309</v>
      </c>
      <c r="J1356" s="129" t="str">
        <f t="shared" si="45"/>
        <v>Natural Hoop</v>
      </c>
      <c r="K1356" s="129"/>
    </row>
    <row r="1357" spans="7:11" x14ac:dyDescent="0.3">
      <c r="G1357" s="12" t="s">
        <v>16</v>
      </c>
      <c r="H1357" s="12" t="s">
        <v>282</v>
      </c>
      <c r="I1357" s="12" t="s">
        <v>907</v>
      </c>
      <c r="J1357" s="129" t="str">
        <f t="shared" si="45"/>
        <v>Natural w/Inlay</v>
      </c>
      <c r="K1357" s="129"/>
    </row>
    <row r="1358" spans="7:11" x14ac:dyDescent="0.3">
      <c r="G1358" s="12" t="s">
        <v>16</v>
      </c>
      <c r="H1358" s="12" t="s">
        <v>282</v>
      </c>
      <c r="I1358" s="12" t="s">
        <v>909</v>
      </c>
      <c r="J1358" s="129" t="str">
        <f t="shared" si="45"/>
        <v>Natural w/Accent</v>
      </c>
      <c r="K1358" s="129"/>
    </row>
    <row r="1359" spans="7:11" x14ac:dyDescent="0.3">
      <c r="G1359" s="12" t="s">
        <v>16</v>
      </c>
      <c r="H1359" s="12" t="s">
        <v>282</v>
      </c>
      <c r="I1359" s="12" t="s">
        <v>313</v>
      </c>
      <c r="J1359" s="129" t="str">
        <f t="shared" si="45"/>
        <v>Sable Black</v>
      </c>
      <c r="K1359" s="129"/>
    </row>
    <row r="1360" spans="7:11" x14ac:dyDescent="0.3">
      <c r="G1360" s="12" t="s">
        <v>17</v>
      </c>
      <c r="H1360" s="12" t="s">
        <v>282</v>
      </c>
      <c r="I1360" s="12" t="s">
        <v>902</v>
      </c>
      <c r="J1360" s="129" t="str">
        <f t="shared" si="45"/>
        <v>Satin Sable w/Inlay</v>
      </c>
      <c r="K1360" s="129"/>
    </row>
    <row r="1361" spans="7:11" x14ac:dyDescent="0.3">
      <c r="G1361" s="12" t="s">
        <v>17</v>
      </c>
      <c r="H1361" s="12" t="s">
        <v>282</v>
      </c>
      <c r="I1361" s="12" t="s">
        <v>904</v>
      </c>
      <c r="J1361" s="129" t="str">
        <f t="shared" si="45"/>
        <v>Satin Natural w/Inlay</v>
      </c>
      <c r="K1361" s="129"/>
    </row>
    <row r="1362" spans="7:11" x14ac:dyDescent="0.3">
      <c r="G1362" s="12" t="s">
        <v>17</v>
      </c>
      <c r="H1362" s="12" t="s">
        <v>282</v>
      </c>
      <c r="I1362" s="12" t="s">
        <v>26</v>
      </c>
      <c r="J1362" s="129" t="str">
        <f t="shared" si="45"/>
        <v>Satin Sable</v>
      </c>
      <c r="K1362" s="129"/>
    </row>
    <row r="1363" spans="7:11" x14ac:dyDescent="0.3">
      <c r="G1363" s="12" t="s">
        <v>17</v>
      </c>
      <c r="H1363" s="12" t="s">
        <v>282</v>
      </c>
      <c r="I1363" s="12" t="s">
        <v>914</v>
      </c>
      <c r="J1363" s="129" t="str">
        <f t="shared" si="45"/>
        <v>Satin Sable w/Accent</v>
      </c>
      <c r="K1363" s="129"/>
    </row>
    <row r="1364" spans="7:11" x14ac:dyDescent="0.3">
      <c r="G1364" s="12" t="s">
        <v>17</v>
      </c>
      <c r="H1364" s="12" t="s">
        <v>282</v>
      </c>
      <c r="I1364" s="12" t="s">
        <v>321</v>
      </c>
      <c r="J1364" s="129" t="str">
        <f t="shared" ref="J1364:J1427" si="46">INDEX($C$3:$C$15,MATCH(I1364,$B$3:$B$15,0))</f>
        <v>Satin Natural</v>
      </c>
      <c r="K1364" s="129"/>
    </row>
    <row r="1365" spans="7:11" x14ac:dyDescent="0.3">
      <c r="G1365" s="12" t="s">
        <v>17</v>
      </c>
      <c r="H1365" s="12" t="s">
        <v>282</v>
      </c>
      <c r="I1365" s="12" t="s">
        <v>912</v>
      </c>
      <c r="J1365" s="129" t="str">
        <f t="shared" si="46"/>
        <v>Satin Natural w/Accent</v>
      </c>
      <c r="K1365" s="129"/>
    </row>
    <row r="1366" spans="7:11" x14ac:dyDescent="0.3">
      <c r="G1366" s="12" t="s">
        <v>17</v>
      </c>
      <c r="H1366" s="12" t="s">
        <v>282</v>
      </c>
      <c r="I1366" s="12" t="s">
        <v>309</v>
      </c>
      <c r="J1366" s="129" t="str">
        <f t="shared" si="46"/>
        <v>Natural Hoop</v>
      </c>
      <c r="K1366" s="129"/>
    </row>
    <row r="1367" spans="7:11" x14ac:dyDescent="0.3">
      <c r="G1367" s="12" t="s">
        <v>17</v>
      </c>
      <c r="H1367" s="12" t="s">
        <v>282</v>
      </c>
      <c r="I1367" s="12" t="s">
        <v>907</v>
      </c>
      <c r="J1367" s="129" t="str">
        <f t="shared" si="46"/>
        <v>Natural w/Inlay</v>
      </c>
      <c r="K1367" s="129"/>
    </row>
    <row r="1368" spans="7:11" x14ac:dyDescent="0.3">
      <c r="G1368" s="12" t="s">
        <v>17</v>
      </c>
      <c r="H1368" s="12" t="s">
        <v>282</v>
      </c>
      <c r="I1368" s="12" t="s">
        <v>909</v>
      </c>
      <c r="J1368" s="129" t="str">
        <f t="shared" si="46"/>
        <v>Natural w/Accent</v>
      </c>
      <c r="K1368" s="129"/>
    </row>
    <row r="1369" spans="7:11" x14ac:dyDescent="0.3">
      <c r="G1369" s="12" t="s">
        <v>17</v>
      </c>
      <c r="H1369" s="12" t="s">
        <v>282</v>
      </c>
      <c r="I1369" s="12" t="s">
        <v>313</v>
      </c>
      <c r="J1369" s="129" t="str">
        <f t="shared" si="46"/>
        <v>Sable Black</v>
      </c>
      <c r="K1369" s="129"/>
    </row>
    <row r="1370" spans="7:11" x14ac:dyDescent="0.3">
      <c r="G1370" s="12" t="s">
        <v>19</v>
      </c>
      <c r="H1370" s="12" t="s">
        <v>282</v>
      </c>
      <c r="I1370" s="12" t="s">
        <v>902</v>
      </c>
      <c r="J1370" s="129" t="str">
        <f t="shared" si="46"/>
        <v>Satin Sable w/Inlay</v>
      </c>
      <c r="K1370" s="129"/>
    </row>
    <row r="1371" spans="7:11" x14ac:dyDescent="0.3">
      <c r="G1371" s="12" t="s">
        <v>19</v>
      </c>
      <c r="H1371" s="12" t="s">
        <v>282</v>
      </c>
      <c r="I1371" s="12" t="s">
        <v>904</v>
      </c>
      <c r="J1371" s="129" t="str">
        <f t="shared" si="46"/>
        <v>Satin Natural w/Inlay</v>
      </c>
      <c r="K1371" s="129"/>
    </row>
    <row r="1372" spans="7:11" x14ac:dyDescent="0.3">
      <c r="G1372" s="12" t="s">
        <v>19</v>
      </c>
      <c r="H1372" s="12" t="s">
        <v>282</v>
      </c>
      <c r="I1372" s="12" t="s">
        <v>26</v>
      </c>
      <c r="J1372" s="129" t="str">
        <f t="shared" si="46"/>
        <v>Satin Sable</v>
      </c>
      <c r="K1372" s="129"/>
    </row>
    <row r="1373" spans="7:11" x14ac:dyDescent="0.3">
      <c r="G1373" s="12" t="s">
        <v>19</v>
      </c>
      <c r="H1373" s="12" t="s">
        <v>282</v>
      </c>
      <c r="I1373" s="12" t="s">
        <v>914</v>
      </c>
      <c r="J1373" s="129" t="str">
        <f t="shared" si="46"/>
        <v>Satin Sable w/Accent</v>
      </c>
      <c r="K1373" s="129"/>
    </row>
    <row r="1374" spans="7:11" x14ac:dyDescent="0.3">
      <c r="G1374" s="12" t="s">
        <v>19</v>
      </c>
      <c r="H1374" s="12" t="s">
        <v>282</v>
      </c>
      <c r="I1374" s="12" t="s">
        <v>321</v>
      </c>
      <c r="J1374" s="129" t="str">
        <f t="shared" si="46"/>
        <v>Satin Natural</v>
      </c>
      <c r="K1374" s="129"/>
    </row>
    <row r="1375" spans="7:11" x14ac:dyDescent="0.3">
      <c r="G1375" s="12" t="s">
        <v>19</v>
      </c>
      <c r="H1375" s="12" t="s">
        <v>282</v>
      </c>
      <c r="I1375" s="12" t="s">
        <v>912</v>
      </c>
      <c r="J1375" s="129" t="str">
        <f t="shared" si="46"/>
        <v>Satin Natural w/Accent</v>
      </c>
      <c r="K1375" s="129"/>
    </row>
    <row r="1376" spans="7:11" x14ac:dyDescent="0.3">
      <c r="G1376" s="12" t="s">
        <v>19</v>
      </c>
      <c r="H1376" s="12" t="s">
        <v>282</v>
      </c>
      <c r="I1376" s="12" t="s">
        <v>309</v>
      </c>
      <c r="J1376" s="129" t="str">
        <f t="shared" si="46"/>
        <v>Natural Hoop</v>
      </c>
      <c r="K1376" s="129"/>
    </row>
    <row r="1377" spans="7:11" x14ac:dyDescent="0.3">
      <c r="G1377" s="12" t="s">
        <v>19</v>
      </c>
      <c r="H1377" s="12" t="s">
        <v>282</v>
      </c>
      <c r="I1377" s="12" t="s">
        <v>313</v>
      </c>
      <c r="J1377" s="129" t="str">
        <f t="shared" si="46"/>
        <v>Sable Black</v>
      </c>
      <c r="K1377" s="129"/>
    </row>
    <row r="1378" spans="7:11" x14ac:dyDescent="0.3">
      <c r="G1378" s="12" t="s">
        <v>15</v>
      </c>
      <c r="H1378" s="12" t="s">
        <v>283</v>
      </c>
      <c r="I1378" s="12" t="s">
        <v>902</v>
      </c>
      <c r="J1378" s="129" t="str">
        <f t="shared" si="46"/>
        <v>Satin Sable w/Inlay</v>
      </c>
      <c r="K1378" s="129"/>
    </row>
    <row r="1379" spans="7:11" x14ac:dyDescent="0.3">
      <c r="G1379" s="12" t="s">
        <v>15</v>
      </c>
      <c r="H1379" s="12" t="s">
        <v>283</v>
      </c>
      <c r="I1379" s="12" t="s">
        <v>904</v>
      </c>
      <c r="J1379" s="129" t="str">
        <f t="shared" si="46"/>
        <v>Satin Natural w/Inlay</v>
      </c>
      <c r="K1379" s="129"/>
    </row>
    <row r="1380" spans="7:11" x14ac:dyDescent="0.3">
      <c r="G1380" s="12" t="s">
        <v>15</v>
      </c>
      <c r="H1380" s="12" t="s">
        <v>283</v>
      </c>
      <c r="I1380" s="12" t="s">
        <v>26</v>
      </c>
      <c r="J1380" s="129" t="str">
        <f t="shared" si="46"/>
        <v>Satin Sable</v>
      </c>
      <c r="K1380" s="129"/>
    </row>
    <row r="1381" spans="7:11" x14ac:dyDescent="0.3">
      <c r="G1381" s="12" t="s">
        <v>15</v>
      </c>
      <c r="H1381" s="12" t="s">
        <v>283</v>
      </c>
      <c r="I1381" s="12" t="s">
        <v>914</v>
      </c>
      <c r="J1381" s="129" t="str">
        <f t="shared" si="46"/>
        <v>Satin Sable w/Accent</v>
      </c>
      <c r="K1381" s="129"/>
    </row>
    <row r="1382" spans="7:11" x14ac:dyDescent="0.3">
      <c r="G1382" s="12" t="s">
        <v>15</v>
      </c>
      <c r="H1382" s="12" t="s">
        <v>283</v>
      </c>
      <c r="I1382" s="12" t="s">
        <v>321</v>
      </c>
      <c r="J1382" s="129" t="str">
        <f t="shared" si="46"/>
        <v>Satin Natural</v>
      </c>
      <c r="K1382" s="129"/>
    </row>
    <row r="1383" spans="7:11" x14ac:dyDescent="0.3">
      <c r="G1383" s="12" t="s">
        <v>15</v>
      </c>
      <c r="H1383" s="12" t="s">
        <v>283</v>
      </c>
      <c r="I1383" s="12" t="s">
        <v>912</v>
      </c>
      <c r="J1383" s="129" t="str">
        <f t="shared" si="46"/>
        <v>Satin Natural w/Accent</v>
      </c>
      <c r="K1383" s="129"/>
    </row>
    <row r="1384" spans="7:11" x14ac:dyDescent="0.3">
      <c r="G1384" s="12" t="s">
        <v>15</v>
      </c>
      <c r="H1384" s="12" t="s">
        <v>283</v>
      </c>
      <c r="I1384" s="12" t="s">
        <v>309</v>
      </c>
      <c r="J1384" s="129" t="str">
        <f t="shared" si="46"/>
        <v>Natural Hoop</v>
      </c>
      <c r="K1384" s="129"/>
    </row>
    <row r="1385" spans="7:11" x14ac:dyDescent="0.3">
      <c r="G1385" s="12" t="s">
        <v>15</v>
      </c>
      <c r="H1385" s="12" t="s">
        <v>283</v>
      </c>
      <c r="I1385" s="12" t="s">
        <v>907</v>
      </c>
      <c r="J1385" s="129" t="str">
        <f t="shared" si="46"/>
        <v>Natural w/Inlay</v>
      </c>
      <c r="K1385" s="129"/>
    </row>
    <row r="1386" spans="7:11" x14ac:dyDescent="0.3">
      <c r="G1386" s="12" t="s">
        <v>15</v>
      </c>
      <c r="H1386" s="12" t="s">
        <v>283</v>
      </c>
      <c r="I1386" s="12" t="s">
        <v>909</v>
      </c>
      <c r="J1386" s="129" t="str">
        <f t="shared" si="46"/>
        <v>Natural w/Accent</v>
      </c>
      <c r="K1386" s="129"/>
    </row>
    <row r="1387" spans="7:11" x14ac:dyDescent="0.3">
      <c r="G1387" s="12" t="s">
        <v>15</v>
      </c>
      <c r="H1387" s="12" t="s">
        <v>283</v>
      </c>
      <c r="I1387" s="12" t="s">
        <v>313</v>
      </c>
      <c r="J1387" s="129" t="str">
        <f t="shared" si="46"/>
        <v>Sable Black</v>
      </c>
      <c r="K1387" s="129"/>
    </row>
    <row r="1388" spans="7:11" x14ac:dyDescent="0.3">
      <c r="G1388" s="12" t="s">
        <v>16</v>
      </c>
      <c r="H1388" s="12" t="s">
        <v>283</v>
      </c>
      <c r="I1388" s="12" t="s">
        <v>902</v>
      </c>
      <c r="J1388" s="129" t="str">
        <f t="shared" si="46"/>
        <v>Satin Sable w/Inlay</v>
      </c>
      <c r="K1388" s="129"/>
    </row>
    <row r="1389" spans="7:11" x14ac:dyDescent="0.3">
      <c r="G1389" s="12" t="s">
        <v>16</v>
      </c>
      <c r="H1389" s="12" t="s">
        <v>283</v>
      </c>
      <c r="I1389" s="12" t="s">
        <v>904</v>
      </c>
      <c r="J1389" s="129" t="str">
        <f t="shared" si="46"/>
        <v>Satin Natural w/Inlay</v>
      </c>
      <c r="K1389" s="129"/>
    </row>
    <row r="1390" spans="7:11" x14ac:dyDescent="0.3">
      <c r="G1390" s="12" t="s">
        <v>16</v>
      </c>
      <c r="H1390" s="12" t="s">
        <v>283</v>
      </c>
      <c r="I1390" s="12" t="s">
        <v>26</v>
      </c>
      <c r="J1390" s="129" t="str">
        <f t="shared" si="46"/>
        <v>Satin Sable</v>
      </c>
      <c r="K1390" s="129"/>
    </row>
    <row r="1391" spans="7:11" x14ac:dyDescent="0.3">
      <c r="G1391" s="12" t="s">
        <v>16</v>
      </c>
      <c r="H1391" s="12" t="s">
        <v>283</v>
      </c>
      <c r="I1391" s="12" t="s">
        <v>914</v>
      </c>
      <c r="J1391" s="129" t="str">
        <f t="shared" si="46"/>
        <v>Satin Sable w/Accent</v>
      </c>
      <c r="K1391" s="129"/>
    </row>
    <row r="1392" spans="7:11" x14ac:dyDescent="0.3">
      <c r="G1392" s="12" t="s">
        <v>16</v>
      </c>
      <c r="H1392" s="12" t="s">
        <v>283</v>
      </c>
      <c r="I1392" s="12" t="s">
        <v>321</v>
      </c>
      <c r="J1392" s="129" t="str">
        <f t="shared" si="46"/>
        <v>Satin Natural</v>
      </c>
      <c r="K1392" s="129"/>
    </row>
    <row r="1393" spans="7:11" x14ac:dyDescent="0.3">
      <c r="G1393" s="12" t="s">
        <v>16</v>
      </c>
      <c r="H1393" s="12" t="s">
        <v>283</v>
      </c>
      <c r="I1393" s="12" t="s">
        <v>912</v>
      </c>
      <c r="J1393" s="129" t="str">
        <f t="shared" si="46"/>
        <v>Satin Natural w/Accent</v>
      </c>
      <c r="K1393" s="129"/>
    </row>
    <row r="1394" spans="7:11" x14ac:dyDescent="0.3">
      <c r="G1394" s="12" t="s">
        <v>16</v>
      </c>
      <c r="H1394" s="12" t="s">
        <v>283</v>
      </c>
      <c r="I1394" s="12" t="s">
        <v>309</v>
      </c>
      <c r="J1394" s="129" t="str">
        <f t="shared" si="46"/>
        <v>Natural Hoop</v>
      </c>
      <c r="K1394" s="129"/>
    </row>
    <row r="1395" spans="7:11" x14ac:dyDescent="0.3">
      <c r="G1395" s="12" t="s">
        <v>16</v>
      </c>
      <c r="H1395" s="12" t="s">
        <v>283</v>
      </c>
      <c r="I1395" s="12" t="s">
        <v>907</v>
      </c>
      <c r="J1395" s="129" t="str">
        <f t="shared" si="46"/>
        <v>Natural w/Inlay</v>
      </c>
      <c r="K1395" s="129"/>
    </row>
    <row r="1396" spans="7:11" x14ac:dyDescent="0.3">
      <c r="G1396" s="12" t="s">
        <v>16</v>
      </c>
      <c r="H1396" s="12" t="s">
        <v>283</v>
      </c>
      <c r="I1396" s="12" t="s">
        <v>909</v>
      </c>
      <c r="J1396" s="129" t="str">
        <f t="shared" si="46"/>
        <v>Natural w/Accent</v>
      </c>
      <c r="K1396" s="129"/>
    </row>
    <row r="1397" spans="7:11" x14ac:dyDescent="0.3">
      <c r="G1397" s="12" t="s">
        <v>16</v>
      </c>
      <c r="H1397" s="12" t="s">
        <v>283</v>
      </c>
      <c r="I1397" s="12" t="s">
        <v>313</v>
      </c>
      <c r="J1397" s="129" t="str">
        <f t="shared" si="46"/>
        <v>Sable Black</v>
      </c>
      <c r="K1397" s="129"/>
    </row>
    <row r="1398" spans="7:11" x14ac:dyDescent="0.3">
      <c r="G1398" s="12" t="s">
        <v>17</v>
      </c>
      <c r="H1398" s="12" t="s">
        <v>283</v>
      </c>
      <c r="I1398" s="12" t="s">
        <v>902</v>
      </c>
      <c r="J1398" s="129" t="str">
        <f t="shared" si="46"/>
        <v>Satin Sable w/Inlay</v>
      </c>
      <c r="K1398" s="129"/>
    </row>
    <row r="1399" spans="7:11" x14ac:dyDescent="0.3">
      <c r="G1399" s="12" t="s">
        <v>17</v>
      </c>
      <c r="H1399" s="12" t="s">
        <v>283</v>
      </c>
      <c r="I1399" s="12" t="s">
        <v>904</v>
      </c>
      <c r="J1399" s="129" t="str">
        <f t="shared" si="46"/>
        <v>Satin Natural w/Inlay</v>
      </c>
      <c r="K1399" s="129"/>
    </row>
    <row r="1400" spans="7:11" x14ac:dyDescent="0.3">
      <c r="G1400" s="12" t="s">
        <v>17</v>
      </c>
      <c r="H1400" s="12" t="s">
        <v>283</v>
      </c>
      <c r="I1400" s="12" t="s">
        <v>26</v>
      </c>
      <c r="J1400" s="129" t="str">
        <f t="shared" si="46"/>
        <v>Satin Sable</v>
      </c>
      <c r="K1400" s="129"/>
    </row>
    <row r="1401" spans="7:11" x14ac:dyDescent="0.3">
      <c r="G1401" s="12" t="s">
        <v>17</v>
      </c>
      <c r="H1401" s="12" t="s">
        <v>283</v>
      </c>
      <c r="I1401" s="12" t="s">
        <v>914</v>
      </c>
      <c r="J1401" s="129" t="str">
        <f t="shared" si="46"/>
        <v>Satin Sable w/Accent</v>
      </c>
      <c r="K1401" s="129"/>
    </row>
    <row r="1402" spans="7:11" x14ac:dyDescent="0.3">
      <c r="G1402" s="12" t="s">
        <v>17</v>
      </c>
      <c r="H1402" s="12" t="s">
        <v>283</v>
      </c>
      <c r="I1402" s="12" t="s">
        <v>321</v>
      </c>
      <c r="J1402" s="129" t="str">
        <f t="shared" si="46"/>
        <v>Satin Natural</v>
      </c>
      <c r="K1402" s="129"/>
    </row>
    <row r="1403" spans="7:11" x14ac:dyDescent="0.3">
      <c r="G1403" s="12" t="s">
        <v>17</v>
      </c>
      <c r="H1403" s="12" t="s">
        <v>283</v>
      </c>
      <c r="I1403" s="12" t="s">
        <v>912</v>
      </c>
      <c r="J1403" s="129" t="str">
        <f t="shared" si="46"/>
        <v>Satin Natural w/Accent</v>
      </c>
      <c r="K1403" s="129"/>
    </row>
    <row r="1404" spans="7:11" x14ac:dyDescent="0.3">
      <c r="G1404" s="12" t="s">
        <v>17</v>
      </c>
      <c r="H1404" s="12" t="s">
        <v>283</v>
      </c>
      <c r="I1404" s="12" t="s">
        <v>309</v>
      </c>
      <c r="J1404" s="129" t="str">
        <f t="shared" si="46"/>
        <v>Natural Hoop</v>
      </c>
      <c r="K1404" s="129"/>
    </row>
    <row r="1405" spans="7:11" x14ac:dyDescent="0.3">
      <c r="G1405" s="12" t="s">
        <v>17</v>
      </c>
      <c r="H1405" s="12" t="s">
        <v>283</v>
      </c>
      <c r="I1405" s="12" t="s">
        <v>907</v>
      </c>
      <c r="J1405" s="129" t="str">
        <f t="shared" si="46"/>
        <v>Natural w/Inlay</v>
      </c>
      <c r="K1405" s="129"/>
    </row>
    <row r="1406" spans="7:11" x14ac:dyDescent="0.3">
      <c r="G1406" s="12" t="s">
        <v>17</v>
      </c>
      <c r="H1406" s="12" t="s">
        <v>283</v>
      </c>
      <c r="I1406" s="12" t="s">
        <v>909</v>
      </c>
      <c r="J1406" s="129" t="str">
        <f t="shared" si="46"/>
        <v>Natural w/Accent</v>
      </c>
      <c r="K1406" s="129"/>
    </row>
    <row r="1407" spans="7:11" x14ac:dyDescent="0.3">
      <c r="G1407" s="12" t="s">
        <v>17</v>
      </c>
      <c r="H1407" s="12" t="s">
        <v>283</v>
      </c>
      <c r="I1407" s="12" t="s">
        <v>313</v>
      </c>
      <c r="J1407" s="129" t="str">
        <f t="shared" si="46"/>
        <v>Sable Black</v>
      </c>
      <c r="K1407" s="129"/>
    </row>
    <row r="1408" spans="7:11" x14ac:dyDescent="0.3">
      <c r="G1408" s="12" t="s">
        <v>19</v>
      </c>
      <c r="H1408" s="12" t="s">
        <v>283</v>
      </c>
      <c r="I1408" s="12" t="s">
        <v>902</v>
      </c>
      <c r="J1408" s="129" t="str">
        <f t="shared" si="46"/>
        <v>Satin Sable w/Inlay</v>
      </c>
      <c r="K1408" s="129"/>
    </row>
    <row r="1409" spans="7:11" x14ac:dyDescent="0.3">
      <c r="G1409" s="12" t="s">
        <v>19</v>
      </c>
      <c r="H1409" s="12" t="s">
        <v>283</v>
      </c>
      <c r="I1409" s="12" t="s">
        <v>904</v>
      </c>
      <c r="J1409" s="129" t="str">
        <f t="shared" si="46"/>
        <v>Satin Natural w/Inlay</v>
      </c>
      <c r="K1409" s="129"/>
    </row>
    <row r="1410" spans="7:11" x14ac:dyDescent="0.3">
      <c r="G1410" s="12" t="s">
        <v>19</v>
      </c>
      <c r="H1410" s="12" t="s">
        <v>283</v>
      </c>
      <c r="I1410" s="12" t="s">
        <v>26</v>
      </c>
      <c r="J1410" s="129" t="str">
        <f t="shared" si="46"/>
        <v>Satin Sable</v>
      </c>
      <c r="K1410" s="129"/>
    </row>
    <row r="1411" spans="7:11" x14ac:dyDescent="0.3">
      <c r="G1411" s="12" t="s">
        <v>19</v>
      </c>
      <c r="H1411" s="12" t="s">
        <v>283</v>
      </c>
      <c r="I1411" s="12" t="s">
        <v>914</v>
      </c>
      <c r="J1411" s="129" t="str">
        <f t="shared" si="46"/>
        <v>Satin Sable w/Accent</v>
      </c>
      <c r="K1411" s="129"/>
    </row>
    <row r="1412" spans="7:11" x14ac:dyDescent="0.3">
      <c r="G1412" s="12" t="s">
        <v>19</v>
      </c>
      <c r="H1412" s="12" t="s">
        <v>283</v>
      </c>
      <c r="I1412" s="12" t="s">
        <v>321</v>
      </c>
      <c r="J1412" s="129" t="str">
        <f t="shared" si="46"/>
        <v>Satin Natural</v>
      </c>
      <c r="K1412" s="129"/>
    </row>
    <row r="1413" spans="7:11" x14ac:dyDescent="0.3">
      <c r="G1413" s="12" t="s">
        <v>19</v>
      </c>
      <c r="H1413" s="12" t="s">
        <v>283</v>
      </c>
      <c r="I1413" s="12" t="s">
        <v>912</v>
      </c>
      <c r="J1413" s="129" t="str">
        <f t="shared" si="46"/>
        <v>Satin Natural w/Accent</v>
      </c>
      <c r="K1413" s="129"/>
    </row>
    <row r="1414" spans="7:11" x14ac:dyDescent="0.3">
      <c r="G1414" s="12" t="s">
        <v>19</v>
      </c>
      <c r="H1414" s="12" t="s">
        <v>283</v>
      </c>
      <c r="I1414" s="12" t="s">
        <v>309</v>
      </c>
      <c r="J1414" s="129" t="str">
        <f t="shared" si="46"/>
        <v>Natural Hoop</v>
      </c>
      <c r="K1414" s="129"/>
    </row>
    <row r="1415" spans="7:11" x14ac:dyDescent="0.3">
      <c r="G1415" s="12" t="s">
        <v>19</v>
      </c>
      <c r="H1415" s="12" t="s">
        <v>283</v>
      </c>
      <c r="I1415" s="12" t="s">
        <v>313</v>
      </c>
      <c r="J1415" s="129" t="str">
        <f t="shared" si="46"/>
        <v>Sable Black</v>
      </c>
      <c r="K1415" s="129"/>
    </row>
    <row r="1416" spans="7:11" x14ac:dyDescent="0.3">
      <c r="G1416" s="12" t="s">
        <v>15</v>
      </c>
      <c r="H1416" s="12" t="s">
        <v>932</v>
      </c>
      <c r="I1416" s="12" t="s">
        <v>902</v>
      </c>
      <c r="J1416" s="129" t="str">
        <f t="shared" si="46"/>
        <v>Satin Sable w/Inlay</v>
      </c>
      <c r="K1416" s="129"/>
    </row>
    <row r="1417" spans="7:11" x14ac:dyDescent="0.3">
      <c r="G1417" s="12" t="s">
        <v>15</v>
      </c>
      <c r="H1417" s="12" t="s">
        <v>932</v>
      </c>
      <c r="I1417" s="12" t="s">
        <v>904</v>
      </c>
      <c r="J1417" s="129" t="str">
        <f t="shared" si="46"/>
        <v>Satin Natural w/Inlay</v>
      </c>
      <c r="K1417" s="129"/>
    </row>
    <row r="1418" spans="7:11" x14ac:dyDescent="0.3">
      <c r="G1418" s="12" t="s">
        <v>15</v>
      </c>
      <c r="H1418" s="12" t="s">
        <v>932</v>
      </c>
      <c r="I1418" s="12" t="s">
        <v>26</v>
      </c>
      <c r="J1418" s="129" t="str">
        <f t="shared" si="46"/>
        <v>Satin Sable</v>
      </c>
      <c r="K1418" s="129"/>
    </row>
    <row r="1419" spans="7:11" x14ac:dyDescent="0.3">
      <c r="G1419" s="12" t="s">
        <v>15</v>
      </c>
      <c r="H1419" s="12" t="s">
        <v>932</v>
      </c>
      <c r="I1419" s="12" t="s">
        <v>914</v>
      </c>
      <c r="J1419" s="129" t="str">
        <f t="shared" si="46"/>
        <v>Satin Sable w/Accent</v>
      </c>
      <c r="K1419" s="129"/>
    </row>
    <row r="1420" spans="7:11" x14ac:dyDescent="0.3">
      <c r="G1420" s="12" t="s">
        <v>15</v>
      </c>
      <c r="H1420" s="12" t="s">
        <v>932</v>
      </c>
      <c r="I1420" s="12" t="s">
        <v>321</v>
      </c>
      <c r="J1420" s="129" t="str">
        <f t="shared" si="46"/>
        <v>Satin Natural</v>
      </c>
      <c r="K1420" s="129"/>
    </row>
    <row r="1421" spans="7:11" x14ac:dyDescent="0.3">
      <c r="G1421" s="12" t="s">
        <v>15</v>
      </c>
      <c r="H1421" s="12" t="s">
        <v>932</v>
      </c>
      <c r="I1421" s="12" t="s">
        <v>912</v>
      </c>
      <c r="J1421" s="129" t="str">
        <f t="shared" si="46"/>
        <v>Satin Natural w/Accent</v>
      </c>
      <c r="K1421" s="129"/>
    </row>
    <row r="1422" spans="7:11" x14ac:dyDescent="0.3">
      <c r="G1422" s="12" t="s">
        <v>15</v>
      </c>
      <c r="H1422" s="12" t="s">
        <v>932</v>
      </c>
      <c r="I1422" s="12" t="s">
        <v>309</v>
      </c>
      <c r="J1422" s="129" t="str">
        <f t="shared" si="46"/>
        <v>Natural Hoop</v>
      </c>
      <c r="K1422" s="129"/>
    </row>
    <row r="1423" spans="7:11" x14ac:dyDescent="0.3">
      <c r="G1423" s="12" t="s">
        <v>15</v>
      </c>
      <c r="H1423" s="12" t="s">
        <v>932</v>
      </c>
      <c r="I1423" s="12" t="s">
        <v>907</v>
      </c>
      <c r="J1423" s="129" t="str">
        <f t="shared" si="46"/>
        <v>Natural w/Inlay</v>
      </c>
      <c r="K1423" s="129"/>
    </row>
    <row r="1424" spans="7:11" x14ac:dyDescent="0.3">
      <c r="G1424" s="12" t="s">
        <v>15</v>
      </c>
      <c r="H1424" s="12" t="s">
        <v>932</v>
      </c>
      <c r="I1424" s="12" t="s">
        <v>909</v>
      </c>
      <c r="J1424" s="129" t="str">
        <f t="shared" si="46"/>
        <v>Natural w/Accent</v>
      </c>
      <c r="K1424" s="129"/>
    </row>
    <row r="1425" spans="7:11" x14ac:dyDescent="0.3">
      <c r="G1425" s="12" t="s">
        <v>15</v>
      </c>
      <c r="H1425" s="12" t="s">
        <v>932</v>
      </c>
      <c r="I1425" s="12" t="s">
        <v>313</v>
      </c>
      <c r="J1425" s="129" t="str">
        <f t="shared" si="46"/>
        <v>Sable Black</v>
      </c>
      <c r="K1425" s="129"/>
    </row>
    <row r="1426" spans="7:11" x14ac:dyDescent="0.3">
      <c r="G1426" s="12" t="s">
        <v>16</v>
      </c>
      <c r="H1426" s="12" t="s">
        <v>932</v>
      </c>
      <c r="I1426" s="12" t="s">
        <v>902</v>
      </c>
      <c r="J1426" s="129" t="str">
        <f t="shared" si="46"/>
        <v>Satin Sable w/Inlay</v>
      </c>
      <c r="K1426" s="129"/>
    </row>
    <row r="1427" spans="7:11" x14ac:dyDescent="0.3">
      <c r="G1427" s="12" t="s">
        <v>16</v>
      </c>
      <c r="H1427" s="12" t="s">
        <v>932</v>
      </c>
      <c r="I1427" s="12" t="s">
        <v>904</v>
      </c>
      <c r="J1427" s="129" t="str">
        <f t="shared" si="46"/>
        <v>Satin Natural w/Inlay</v>
      </c>
      <c r="K1427" s="129"/>
    </row>
    <row r="1428" spans="7:11" x14ac:dyDescent="0.3">
      <c r="G1428" s="12" t="s">
        <v>16</v>
      </c>
      <c r="H1428" s="12" t="s">
        <v>932</v>
      </c>
      <c r="I1428" s="12" t="s">
        <v>26</v>
      </c>
      <c r="J1428" s="129" t="str">
        <f t="shared" ref="J1428:J1491" si="47">INDEX($C$3:$C$15,MATCH(I1428,$B$3:$B$15,0))</f>
        <v>Satin Sable</v>
      </c>
      <c r="K1428" s="129"/>
    </row>
    <row r="1429" spans="7:11" x14ac:dyDescent="0.3">
      <c r="G1429" s="12" t="s">
        <v>16</v>
      </c>
      <c r="H1429" s="12" t="s">
        <v>932</v>
      </c>
      <c r="I1429" s="12" t="s">
        <v>914</v>
      </c>
      <c r="J1429" s="129" t="str">
        <f t="shared" si="47"/>
        <v>Satin Sable w/Accent</v>
      </c>
      <c r="K1429" s="129"/>
    </row>
    <row r="1430" spans="7:11" x14ac:dyDescent="0.3">
      <c r="G1430" s="12" t="s">
        <v>16</v>
      </c>
      <c r="H1430" s="12" t="s">
        <v>932</v>
      </c>
      <c r="I1430" s="12" t="s">
        <v>321</v>
      </c>
      <c r="J1430" s="129" t="str">
        <f t="shared" si="47"/>
        <v>Satin Natural</v>
      </c>
      <c r="K1430" s="129"/>
    </row>
    <row r="1431" spans="7:11" x14ac:dyDescent="0.3">
      <c r="G1431" s="12" t="s">
        <v>16</v>
      </c>
      <c r="H1431" s="12" t="s">
        <v>932</v>
      </c>
      <c r="I1431" s="12" t="s">
        <v>912</v>
      </c>
      <c r="J1431" s="129" t="str">
        <f t="shared" si="47"/>
        <v>Satin Natural w/Accent</v>
      </c>
      <c r="K1431" s="129"/>
    </row>
    <row r="1432" spans="7:11" x14ac:dyDescent="0.3">
      <c r="G1432" s="12" t="s">
        <v>16</v>
      </c>
      <c r="H1432" s="12" t="s">
        <v>932</v>
      </c>
      <c r="I1432" s="12" t="s">
        <v>309</v>
      </c>
      <c r="J1432" s="129" t="str">
        <f t="shared" si="47"/>
        <v>Natural Hoop</v>
      </c>
      <c r="K1432" s="129"/>
    </row>
    <row r="1433" spans="7:11" x14ac:dyDescent="0.3">
      <c r="G1433" s="12" t="s">
        <v>16</v>
      </c>
      <c r="H1433" s="12" t="s">
        <v>932</v>
      </c>
      <c r="I1433" s="12" t="s">
        <v>907</v>
      </c>
      <c r="J1433" s="129" t="str">
        <f t="shared" si="47"/>
        <v>Natural w/Inlay</v>
      </c>
      <c r="K1433" s="129"/>
    </row>
    <row r="1434" spans="7:11" x14ac:dyDescent="0.3">
      <c r="G1434" s="12" t="s">
        <v>16</v>
      </c>
      <c r="H1434" s="12" t="s">
        <v>932</v>
      </c>
      <c r="I1434" s="12" t="s">
        <v>909</v>
      </c>
      <c r="J1434" s="129" t="str">
        <f t="shared" si="47"/>
        <v>Natural w/Accent</v>
      </c>
      <c r="K1434" s="129"/>
    </row>
    <row r="1435" spans="7:11" x14ac:dyDescent="0.3">
      <c r="G1435" s="12" t="s">
        <v>16</v>
      </c>
      <c r="H1435" s="12" t="s">
        <v>932</v>
      </c>
      <c r="I1435" s="12" t="s">
        <v>313</v>
      </c>
      <c r="J1435" s="129" t="str">
        <f t="shared" si="47"/>
        <v>Sable Black</v>
      </c>
      <c r="K1435" s="129"/>
    </row>
    <row r="1436" spans="7:11" x14ac:dyDescent="0.3">
      <c r="G1436" s="12" t="s">
        <v>17</v>
      </c>
      <c r="H1436" s="12" t="s">
        <v>932</v>
      </c>
      <c r="I1436" s="12" t="s">
        <v>902</v>
      </c>
      <c r="J1436" s="129" t="str">
        <f t="shared" si="47"/>
        <v>Satin Sable w/Inlay</v>
      </c>
      <c r="K1436" s="129"/>
    </row>
    <row r="1437" spans="7:11" x14ac:dyDescent="0.3">
      <c r="G1437" s="12" t="s">
        <v>17</v>
      </c>
      <c r="H1437" s="12" t="s">
        <v>932</v>
      </c>
      <c r="I1437" s="12" t="s">
        <v>904</v>
      </c>
      <c r="J1437" s="129" t="str">
        <f t="shared" si="47"/>
        <v>Satin Natural w/Inlay</v>
      </c>
      <c r="K1437" s="129"/>
    </row>
    <row r="1438" spans="7:11" x14ac:dyDescent="0.3">
      <c r="G1438" s="12" t="s">
        <v>17</v>
      </c>
      <c r="H1438" s="12" t="s">
        <v>932</v>
      </c>
      <c r="I1438" s="12" t="s">
        <v>26</v>
      </c>
      <c r="J1438" s="129" t="str">
        <f t="shared" si="47"/>
        <v>Satin Sable</v>
      </c>
      <c r="K1438" s="129"/>
    </row>
    <row r="1439" spans="7:11" x14ac:dyDescent="0.3">
      <c r="G1439" s="12" t="s">
        <v>17</v>
      </c>
      <c r="H1439" s="12" t="s">
        <v>932</v>
      </c>
      <c r="I1439" s="12" t="s">
        <v>914</v>
      </c>
      <c r="J1439" s="129" t="str">
        <f t="shared" si="47"/>
        <v>Satin Sable w/Accent</v>
      </c>
      <c r="K1439" s="129"/>
    </row>
    <row r="1440" spans="7:11" x14ac:dyDescent="0.3">
      <c r="G1440" s="12" t="s">
        <v>17</v>
      </c>
      <c r="H1440" s="12" t="s">
        <v>932</v>
      </c>
      <c r="I1440" s="12" t="s">
        <v>321</v>
      </c>
      <c r="J1440" s="129" t="str">
        <f t="shared" si="47"/>
        <v>Satin Natural</v>
      </c>
      <c r="K1440" s="129"/>
    </row>
    <row r="1441" spans="7:11" x14ac:dyDescent="0.3">
      <c r="G1441" s="12" t="s">
        <v>17</v>
      </c>
      <c r="H1441" s="12" t="s">
        <v>932</v>
      </c>
      <c r="I1441" s="12" t="s">
        <v>912</v>
      </c>
      <c r="J1441" s="129" t="str">
        <f t="shared" si="47"/>
        <v>Satin Natural w/Accent</v>
      </c>
      <c r="K1441" s="129"/>
    </row>
    <row r="1442" spans="7:11" x14ac:dyDescent="0.3">
      <c r="G1442" s="12" t="s">
        <v>17</v>
      </c>
      <c r="H1442" s="12" t="s">
        <v>932</v>
      </c>
      <c r="I1442" s="12" t="s">
        <v>309</v>
      </c>
      <c r="J1442" s="129" t="str">
        <f t="shared" si="47"/>
        <v>Natural Hoop</v>
      </c>
      <c r="K1442" s="129"/>
    </row>
    <row r="1443" spans="7:11" x14ac:dyDescent="0.3">
      <c r="G1443" s="12" t="s">
        <v>17</v>
      </c>
      <c r="H1443" s="12" t="s">
        <v>932</v>
      </c>
      <c r="I1443" s="12" t="s">
        <v>907</v>
      </c>
      <c r="J1443" s="129" t="str">
        <f t="shared" si="47"/>
        <v>Natural w/Inlay</v>
      </c>
      <c r="K1443" s="129"/>
    </row>
    <row r="1444" spans="7:11" x14ac:dyDescent="0.3">
      <c r="G1444" s="12" t="s">
        <v>17</v>
      </c>
      <c r="H1444" s="12" t="s">
        <v>932</v>
      </c>
      <c r="I1444" s="12" t="s">
        <v>909</v>
      </c>
      <c r="J1444" s="129" t="str">
        <f t="shared" si="47"/>
        <v>Natural w/Accent</v>
      </c>
      <c r="K1444" s="129"/>
    </row>
    <row r="1445" spans="7:11" x14ac:dyDescent="0.3">
      <c r="G1445" s="12" t="s">
        <v>17</v>
      </c>
      <c r="H1445" s="12" t="s">
        <v>932</v>
      </c>
      <c r="I1445" s="12" t="s">
        <v>313</v>
      </c>
      <c r="J1445" s="129" t="str">
        <f t="shared" si="47"/>
        <v>Sable Black</v>
      </c>
      <c r="K1445" s="129"/>
    </row>
    <row r="1446" spans="7:11" x14ac:dyDescent="0.3">
      <c r="G1446" s="12" t="s">
        <v>19</v>
      </c>
      <c r="H1446" s="12" t="s">
        <v>932</v>
      </c>
      <c r="I1446" s="12" t="s">
        <v>902</v>
      </c>
      <c r="J1446" s="129" t="str">
        <f t="shared" si="47"/>
        <v>Satin Sable w/Inlay</v>
      </c>
      <c r="K1446" s="129"/>
    </row>
    <row r="1447" spans="7:11" x14ac:dyDescent="0.3">
      <c r="G1447" s="12" t="s">
        <v>19</v>
      </c>
      <c r="H1447" s="12" t="s">
        <v>932</v>
      </c>
      <c r="I1447" s="12" t="s">
        <v>904</v>
      </c>
      <c r="J1447" s="129" t="str">
        <f t="shared" si="47"/>
        <v>Satin Natural w/Inlay</v>
      </c>
      <c r="K1447" s="129"/>
    </row>
    <row r="1448" spans="7:11" x14ac:dyDescent="0.3">
      <c r="G1448" s="12" t="s">
        <v>19</v>
      </c>
      <c r="H1448" s="12" t="s">
        <v>932</v>
      </c>
      <c r="I1448" s="12" t="s">
        <v>26</v>
      </c>
      <c r="J1448" s="129" t="str">
        <f t="shared" si="47"/>
        <v>Satin Sable</v>
      </c>
      <c r="K1448" s="129"/>
    </row>
    <row r="1449" spans="7:11" x14ac:dyDescent="0.3">
      <c r="G1449" s="12" t="s">
        <v>19</v>
      </c>
      <c r="H1449" s="12" t="s">
        <v>932</v>
      </c>
      <c r="I1449" s="12" t="s">
        <v>914</v>
      </c>
      <c r="J1449" s="129" t="str">
        <f t="shared" si="47"/>
        <v>Satin Sable w/Accent</v>
      </c>
      <c r="K1449" s="129"/>
    </row>
    <row r="1450" spans="7:11" x14ac:dyDescent="0.3">
      <c r="G1450" s="12" t="s">
        <v>19</v>
      </c>
      <c r="H1450" s="12" t="s">
        <v>932</v>
      </c>
      <c r="I1450" s="12" t="s">
        <v>321</v>
      </c>
      <c r="J1450" s="129" t="str">
        <f t="shared" si="47"/>
        <v>Satin Natural</v>
      </c>
      <c r="K1450" s="129"/>
    </row>
    <row r="1451" spans="7:11" x14ac:dyDescent="0.3">
      <c r="G1451" s="12" t="s">
        <v>19</v>
      </c>
      <c r="H1451" s="12" t="s">
        <v>932</v>
      </c>
      <c r="I1451" s="12" t="s">
        <v>912</v>
      </c>
      <c r="J1451" s="129" t="str">
        <f t="shared" si="47"/>
        <v>Satin Natural w/Accent</v>
      </c>
      <c r="K1451" s="129"/>
    </row>
    <row r="1452" spans="7:11" x14ac:dyDescent="0.3">
      <c r="G1452" s="12" t="s">
        <v>19</v>
      </c>
      <c r="H1452" s="12" t="s">
        <v>932</v>
      </c>
      <c r="I1452" s="12" t="s">
        <v>309</v>
      </c>
      <c r="J1452" s="129" t="str">
        <f t="shared" si="47"/>
        <v>Natural Hoop</v>
      </c>
      <c r="K1452" s="129"/>
    </row>
    <row r="1453" spans="7:11" x14ac:dyDescent="0.3">
      <c r="G1453" s="12" t="s">
        <v>19</v>
      </c>
      <c r="H1453" s="12" t="s">
        <v>932</v>
      </c>
      <c r="I1453" s="12" t="s">
        <v>313</v>
      </c>
      <c r="J1453" s="129" t="str">
        <f t="shared" si="47"/>
        <v>Sable Black</v>
      </c>
      <c r="K1453" s="129"/>
    </row>
    <row r="1454" spans="7:11" x14ac:dyDescent="0.3">
      <c r="G1454" s="12" t="s">
        <v>15</v>
      </c>
      <c r="H1454" s="12" t="s">
        <v>1349</v>
      </c>
      <c r="I1454" s="12" t="s">
        <v>902</v>
      </c>
      <c r="J1454" s="129" t="str">
        <f t="shared" si="47"/>
        <v>Satin Sable w/Inlay</v>
      </c>
      <c r="K1454" s="129"/>
    </row>
    <row r="1455" spans="7:11" x14ac:dyDescent="0.3">
      <c r="G1455" s="12" t="s">
        <v>15</v>
      </c>
      <c r="H1455" s="12" t="s">
        <v>1349</v>
      </c>
      <c r="I1455" s="12" t="s">
        <v>904</v>
      </c>
      <c r="J1455" s="129" t="str">
        <f t="shared" si="47"/>
        <v>Satin Natural w/Inlay</v>
      </c>
      <c r="K1455" s="129"/>
    </row>
    <row r="1456" spans="7:11" x14ac:dyDescent="0.3">
      <c r="G1456" s="12" t="s">
        <v>15</v>
      </c>
      <c r="H1456" s="12" t="s">
        <v>1349</v>
      </c>
      <c r="I1456" s="12" t="s">
        <v>26</v>
      </c>
      <c r="J1456" s="129" t="str">
        <f t="shared" si="47"/>
        <v>Satin Sable</v>
      </c>
      <c r="K1456" s="129"/>
    </row>
    <row r="1457" spans="7:11" x14ac:dyDescent="0.3">
      <c r="G1457" s="12" t="s">
        <v>15</v>
      </c>
      <c r="H1457" s="12" t="s">
        <v>1349</v>
      </c>
      <c r="I1457" s="12" t="s">
        <v>914</v>
      </c>
      <c r="J1457" s="129" t="str">
        <f t="shared" si="47"/>
        <v>Satin Sable w/Accent</v>
      </c>
      <c r="K1457" s="129"/>
    </row>
    <row r="1458" spans="7:11" x14ac:dyDescent="0.3">
      <c r="G1458" s="12" t="s">
        <v>15</v>
      </c>
      <c r="H1458" s="12" t="s">
        <v>1349</v>
      </c>
      <c r="I1458" s="12" t="s">
        <v>321</v>
      </c>
      <c r="J1458" s="129" t="str">
        <f t="shared" si="47"/>
        <v>Satin Natural</v>
      </c>
      <c r="K1458" s="129"/>
    </row>
    <row r="1459" spans="7:11" x14ac:dyDescent="0.3">
      <c r="G1459" s="12" t="s">
        <v>15</v>
      </c>
      <c r="H1459" s="12" t="s">
        <v>1349</v>
      </c>
      <c r="I1459" s="12" t="s">
        <v>912</v>
      </c>
      <c r="J1459" s="129" t="str">
        <f t="shared" si="47"/>
        <v>Satin Natural w/Accent</v>
      </c>
      <c r="K1459" s="129"/>
    </row>
    <row r="1460" spans="7:11" x14ac:dyDescent="0.3">
      <c r="G1460" s="12" t="s">
        <v>15</v>
      </c>
      <c r="H1460" s="12" t="s">
        <v>1349</v>
      </c>
      <c r="I1460" s="12" t="s">
        <v>309</v>
      </c>
      <c r="J1460" s="129" t="str">
        <f t="shared" si="47"/>
        <v>Natural Hoop</v>
      </c>
      <c r="K1460" s="129"/>
    </row>
    <row r="1461" spans="7:11" x14ac:dyDescent="0.3">
      <c r="G1461" s="12" t="s">
        <v>15</v>
      </c>
      <c r="H1461" s="12" t="s">
        <v>1349</v>
      </c>
      <c r="I1461" s="12" t="s">
        <v>907</v>
      </c>
      <c r="J1461" s="129" t="str">
        <f t="shared" si="47"/>
        <v>Natural w/Inlay</v>
      </c>
      <c r="K1461" s="129"/>
    </row>
    <row r="1462" spans="7:11" x14ac:dyDescent="0.3">
      <c r="G1462" s="12" t="s">
        <v>15</v>
      </c>
      <c r="H1462" s="12" t="s">
        <v>1349</v>
      </c>
      <c r="I1462" s="12" t="s">
        <v>909</v>
      </c>
      <c r="J1462" s="129" t="str">
        <f t="shared" si="47"/>
        <v>Natural w/Accent</v>
      </c>
    </row>
    <row r="1463" spans="7:11" x14ac:dyDescent="0.3">
      <c r="G1463" s="12" t="s">
        <v>15</v>
      </c>
      <c r="H1463" s="12" t="s">
        <v>1349</v>
      </c>
      <c r="I1463" s="12" t="s">
        <v>313</v>
      </c>
      <c r="J1463" s="129" t="str">
        <f t="shared" si="47"/>
        <v>Sable Black</v>
      </c>
    </row>
    <row r="1464" spans="7:11" x14ac:dyDescent="0.3">
      <c r="G1464" s="12" t="s">
        <v>16</v>
      </c>
      <c r="H1464" s="12" t="s">
        <v>1349</v>
      </c>
      <c r="I1464" s="12" t="s">
        <v>902</v>
      </c>
      <c r="J1464" s="129" t="str">
        <f t="shared" si="47"/>
        <v>Satin Sable w/Inlay</v>
      </c>
    </row>
    <row r="1465" spans="7:11" x14ac:dyDescent="0.3">
      <c r="G1465" s="12" t="s">
        <v>16</v>
      </c>
      <c r="H1465" s="12" t="s">
        <v>1349</v>
      </c>
      <c r="I1465" s="12" t="s">
        <v>904</v>
      </c>
      <c r="J1465" s="129" t="str">
        <f t="shared" si="47"/>
        <v>Satin Natural w/Inlay</v>
      </c>
    </row>
    <row r="1466" spans="7:11" x14ac:dyDescent="0.3">
      <c r="G1466" s="12" t="s">
        <v>16</v>
      </c>
      <c r="H1466" s="12" t="s">
        <v>1349</v>
      </c>
      <c r="I1466" s="12" t="s">
        <v>26</v>
      </c>
      <c r="J1466" s="129" t="str">
        <f t="shared" si="47"/>
        <v>Satin Sable</v>
      </c>
    </row>
    <row r="1467" spans="7:11" x14ac:dyDescent="0.3">
      <c r="G1467" s="12" t="s">
        <v>16</v>
      </c>
      <c r="H1467" s="12" t="s">
        <v>1349</v>
      </c>
      <c r="I1467" s="12" t="s">
        <v>914</v>
      </c>
      <c r="J1467" s="129" t="str">
        <f t="shared" si="47"/>
        <v>Satin Sable w/Accent</v>
      </c>
    </row>
    <row r="1468" spans="7:11" x14ac:dyDescent="0.3">
      <c r="G1468" s="12" t="s">
        <v>16</v>
      </c>
      <c r="H1468" s="12" t="s">
        <v>1349</v>
      </c>
      <c r="I1468" s="12" t="s">
        <v>321</v>
      </c>
      <c r="J1468" s="129" t="str">
        <f t="shared" si="47"/>
        <v>Satin Natural</v>
      </c>
    </row>
    <row r="1469" spans="7:11" x14ac:dyDescent="0.3">
      <c r="G1469" s="12" t="s">
        <v>16</v>
      </c>
      <c r="H1469" s="12" t="s">
        <v>1349</v>
      </c>
      <c r="I1469" s="12" t="s">
        <v>912</v>
      </c>
      <c r="J1469" s="129" t="str">
        <f t="shared" si="47"/>
        <v>Satin Natural w/Accent</v>
      </c>
    </row>
    <row r="1470" spans="7:11" x14ac:dyDescent="0.3">
      <c r="G1470" s="12" t="s">
        <v>16</v>
      </c>
      <c r="H1470" s="12" t="s">
        <v>1349</v>
      </c>
      <c r="I1470" s="12" t="s">
        <v>309</v>
      </c>
      <c r="J1470" s="129" t="str">
        <f t="shared" si="47"/>
        <v>Natural Hoop</v>
      </c>
    </row>
    <row r="1471" spans="7:11" x14ac:dyDescent="0.3">
      <c r="G1471" s="12" t="s">
        <v>16</v>
      </c>
      <c r="H1471" s="12" t="s">
        <v>1349</v>
      </c>
      <c r="I1471" s="12" t="s">
        <v>907</v>
      </c>
      <c r="J1471" s="129" t="str">
        <f t="shared" si="47"/>
        <v>Natural w/Inlay</v>
      </c>
    </row>
    <row r="1472" spans="7:11" x14ac:dyDescent="0.3">
      <c r="G1472" s="12" t="s">
        <v>16</v>
      </c>
      <c r="H1472" s="12" t="s">
        <v>1349</v>
      </c>
      <c r="I1472" s="12" t="s">
        <v>909</v>
      </c>
      <c r="J1472" s="129" t="str">
        <f t="shared" si="47"/>
        <v>Natural w/Accent</v>
      </c>
    </row>
    <row r="1473" spans="7:10" x14ac:dyDescent="0.3">
      <c r="G1473" s="12" t="s">
        <v>16</v>
      </c>
      <c r="H1473" s="12" t="s">
        <v>1349</v>
      </c>
      <c r="I1473" s="12" t="s">
        <v>313</v>
      </c>
      <c r="J1473" s="129" t="str">
        <f t="shared" si="47"/>
        <v>Sable Black</v>
      </c>
    </row>
    <row r="1474" spans="7:10" x14ac:dyDescent="0.3">
      <c r="G1474" s="12" t="s">
        <v>17</v>
      </c>
      <c r="H1474" s="12" t="s">
        <v>1349</v>
      </c>
      <c r="I1474" s="12" t="s">
        <v>902</v>
      </c>
      <c r="J1474" s="129" t="str">
        <f t="shared" si="47"/>
        <v>Satin Sable w/Inlay</v>
      </c>
    </row>
    <row r="1475" spans="7:10" x14ac:dyDescent="0.3">
      <c r="G1475" s="12" t="s">
        <v>17</v>
      </c>
      <c r="H1475" s="12" t="s">
        <v>1349</v>
      </c>
      <c r="I1475" s="12" t="s">
        <v>904</v>
      </c>
      <c r="J1475" s="129" t="str">
        <f t="shared" si="47"/>
        <v>Satin Natural w/Inlay</v>
      </c>
    </row>
    <row r="1476" spans="7:10" x14ac:dyDescent="0.3">
      <c r="G1476" s="12" t="s">
        <v>17</v>
      </c>
      <c r="H1476" s="12" t="s">
        <v>1349</v>
      </c>
      <c r="I1476" s="12" t="s">
        <v>26</v>
      </c>
      <c r="J1476" s="129" t="str">
        <f t="shared" si="47"/>
        <v>Satin Sable</v>
      </c>
    </row>
    <row r="1477" spans="7:10" x14ac:dyDescent="0.3">
      <c r="G1477" s="12" t="s">
        <v>17</v>
      </c>
      <c r="H1477" s="12" t="s">
        <v>1349</v>
      </c>
      <c r="I1477" s="12" t="s">
        <v>914</v>
      </c>
      <c r="J1477" s="129" t="str">
        <f t="shared" si="47"/>
        <v>Satin Sable w/Accent</v>
      </c>
    </row>
    <row r="1478" spans="7:10" x14ac:dyDescent="0.3">
      <c r="G1478" s="12" t="s">
        <v>17</v>
      </c>
      <c r="H1478" s="12" t="s">
        <v>1349</v>
      </c>
      <c r="I1478" s="12" t="s">
        <v>321</v>
      </c>
      <c r="J1478" s="129" t="str">
        <f t="shared" si="47"/>
        <v>Satin Natural</v>
      </c>
    </row>
    <row r="1479" spans="7:10" x14ac:dyDescent="0.3">
      <c r="G1479" s="12" t="s">
        <v>17</v>
      </c>
      <c r="H1479" s="12" t="s">
        <v>1349</v>
      </c>
      <c r="I1479" s="12" t="s">
        <v>912</v>
      </c>
      <c r="J1479" s="129" t="str">
        <f t="shared" si="47"/>
        <v>Satin Natural w/Accent</v>
      </c>
    </row>
    <row r="1480" spans="7:10" x14ac:dyDescent="0.3">
      <c r="G1480" s="12" t="s">
        <v>17</v>
      </c>
      <c r="H1480" s="12" t="s">
        <v>1349</v>
      </c>
      <c r="I1480" s="12" t="s">
        <v>309</v>
      </c>
      <c r="J1480" s="129" t="str">
        <f t="shared" si="47"/>
        <v>Natural Hoop</v>
      </c>
    </row>
    <row r="1481" spans="7:10" x14ac:dyDescent="0.3">
      <c r="G1481" s="12" t="s">
        <v>17</v>
      </c>
      <c r="H1481" s="12" t="s">
        <v>1349</v>
      </c>
      <c r="I1481" s="12" t="s">
        <v>907</v>
      </c>
      <c r="J1481" s="129" t="str">
        <f t="shared" si="47"/>
        <v>Natural w/Inlay</v>
      </c>
    </row>
    <row r="1482" spans="7:10" x14ac:dyDescent="0.3">
      <c r="G1482" s="12" t="s">
        <v>17</v>
      </c>
      <c r="H1482" s="12" t="s">
        <v>1349</v>
      </c>
      <c r="I1482" s="12" t="s">
        <v>909</v>
      </c>
      <c r="J1482" s="129" t="str">
        <f t="shared" si="47"/>
        <v>Natural w/Accent</v>
      </c>
    </row>
    <row r="1483" spans="7:10" x14ac:dyDescent="0.3">
      <c r="G1483" s="12" t="s">
        <v>17</v>
      </c>
      <c r="H1483" s="12" t="s">
        <v>1349</v>
      </c>
      <c r="I1483" s="12" t="s">
        <v>313</v>
      </c>
      <c r="J1483" s="129" t="str">
        <f t="shared" si="47"/>
        <v>Sable Black</v>
      </c>
    </row>
    <row r="1484" spans="7:10" x14ac:dyDescent="0.3">
      <c r="G1484" s="12" t="s">
        <v>19</v>
      </c>
      <c r="H1484" s="12" t="s">
        <v>1349</v>
      </c>
      <c r="I1484" s="12" t="s">
        <v>902</v>
      </c>
      <c r="J1484" s="129" t="str">
        <f t="shared" si="47"/>
        <v>Satin Sable w/Inlay</v>
      </c>
    </row>
    <row r="1485" spans="7:10" x14ac:dyDescent="0.3">
      <c r="G1485" s="12" t="s">
        <v>19</v>
      </c>
      <c r="H1485" s="12" t="s">
        <v>1349</v>
      </c>
      <c r="I1485" s="12" t="s">
        <v>904</v>
      </c>
      <c r="J1485" s="129" t="str">
        <f t="shared" si="47"/>
        <v>Satin Natural w/Inlay</v>
      </c>
    </row>
    <row r="1486" spans="7:10" x14ac:dyDescent="0.3">
      <c r="G1486" s="12" t="s">
        <v>19</v>
      </c>
      <c r="H1486" s="12" t="s">
        <v>1349</v>
      </c>
      <c r="I1486" s="12" t="s">
        <v>26</v>
      </c>
      <c r="J1486" s="129" t="str">
        <f t="shared" si="47"/>
        <v>Satin Sable</v>
      </c>
    </row>
    <row r="1487" spans="7:10" x14ac:dyDescent="0.3">
      <c r="G1487" s="12" t="s">
        <v>19</v>
      </c>
      <c r="H1487" s="12" t="s">
        <v>1349</v>
      </c>
      <c r="I1487" s="12" t="s">
        <v>914</v>
      </c>
      <c r="J1487" s="129" t="str">
        <f t="shared" si="47"/>
        <v>Satin Sable w/Accent</v>
      </c>
    </row>
    <row r="1488" spans="7:10" x14ac:dyDescent="0.3">
      <c r="G1488" s="12" t="s">
        <v>19</v>
      </c>
      <c r="H1488" s="12" t="s">
        <v>1349</v>
      </c>
      <c r="I1488" s="12" t="s">
        <v>321</v>
      </c>
      <c r="J1488" s="129" t="str">
        <f t="shared" si="47"/>
        <v>Satin Natural</v>
      </c>
    </row>
    <row r="1489" spans="7:10" x14ac:dyDescent="0.3">
      <c r="G1489" s="12" t="s">
        <v>19</v>
      </c>
      <c r="H1489" s="12" t="s">
        <v>1349</v>
      </c>
      <c r="I1489" s="12" t="s">
        <v>912</v>
      </c>
      <c r="J1489" s="129" t="str">
        <f t="shared" si="47"/>
        <v>Satin Natural w/Accent</v>
      </c>
    </row>
    <row r="1490" spans="7:10" x14ac:dyDescent="0.3">
      <c r="G1490" s="12" t="s">
        <v>19</v>
      </c>
      <c r="H1490" s="12" t="s">
        <v>1349</v>
      </c>
      <c r="I1490" s="12" t="s">
        <v>309</v>
      </c>
      <c r="J1490" s="129" t="str">
        <f t="shared" si="47"/>
        <v>Natural Hoop</v>
      </c>
    </row>
    <row r="1491" spans="7:10" x14ac:dyDescent="0.3">
      <c r="G1491" s="12" t="s">
        <v>19</v>
      </c>
      <c r="H1491" s="12" t="s">
        <v>1349</v>
      </c>
      <c r="I1491" s="12" t="s">
        <v>313</v>
      </c>
      <c r="J1491" s="129" t="str">
        <f t="shared" si="47"/>
        <v>Sable Black</v>
      </c>
    </row>
    <row r="1492" spans="7:10" x14ac:dyDescent="0.3">
      <c r="G1492" s="12" t="s">
        <v>15</v>
      </c>
      <c r="H1492" s="12" t="s">
        <v>1352</v>
      </c>
      <c r="I1492" s="12" t="s">
        <v>902</v>
      </c>
      <c r="J1492" s="129" t="str">
        <f t="shared" ref="J1492:J1555" si="48">INDEX($C$3:$C$15,MATCH(I1492,$B$3:$B$15,0))</f>
        <v>Satin Sable w/Inlay</v>
      </c>
    </row>
    <row r="1493" spans="7:10" x14ac:dyDescent="0.3">
      <c r="G1493" s="12" t="s">
        <v>15</v>
      </c>
      <c r="H1493" s="12" t="s">
        <v>1352</v>
      </c>
      <c r="I1493" s="12" t="s">
        <v>904</v>
      </c>
      <c r="J1493" s="129" t="str">
        <f t="shared" si="48"/>
        <v>Satin Natural w/Inlay</v>
      </c>
    </row>
    <row r="1494" spans="7:10" x14ac:dyDescent="0.3">
      <c r="G1494" s="12" t="s">
        <v>15</v>
      </c>
      <c r="H1494" s="12" t="s">
        <v>1352</v>
      </c>
      <c r="I1494" s="12" t="s">
        <v>26</v>
      </c>
      <c r="J1494" s="129" t="str">
        <f t="shared" si="48"/>
        <v>Satin Sable</v>
      </c>
    </row>
    <row r="1495" spans="7:10" x14ac:dyDescent="0.3">
      <c r="G1495" s="12" t="s">
        <v>15</v>
      </c>
      <c r="H1495" s="12" t="s">
        <v>1352</v>
      </c>
      <c r="I1495" s="12" t="s">
        <v>914</v>
      </c>
      <c r="J1495" s="129" t="str">
        <f t="shared" si="48"/>
        <v>Satin Sable w/Accent</v>
      </c>
    </row>
    <row r="1496" spans="7:10" x14ac:dyDescent="0.3">
      <c r="G1496" s="12" t="s">
        <v>15</v>
      </c>
      <c r="H1496" s="12" t="s">
        <v>1352</v>
      </c>
      <c r="I1496" s="12" t="s">
        <v>321</v>
      </c>
      <c r="J1496" s="129" t="str">
        <f t="shared" si="48"/>
        <v>Satin Natural</v>
      </c>
    </row>
    <row r="1497" spans="7:10" x14ac:dyDescent="0.3">
      <c r="G1497" s="12" t="s">
        <v>15</v>
      </c>
      <c r="H1497" s="12" t="s">
        <v>1352</v>
      </c>
      <c r="I1497" s="12" t="s">
        <v>912</v>
      </c>
      <c r="J1497" s="129" t="str">
        <f t="shared" si="48"/>
        <v>Satin Natural w/Accent</v>
      </c>
    </row>
    <row r="1498" spans="7:10" x14ac:dyDescent="0.3">
      <c r="G1498" s="12" t="s">
        <v>15</v>
      </c>
      <c r="H1498" s="12" t="s">
        <v>1352</v>
      </c>
      <c r="I1498" s="12" t="s">
        <v>309</v>
      </c>
      <c r="J1498" s="129" t="str">
        <f t="shared" si="48"/>
        <v>Natural Hoop</v>
      </c>
    </row>
    <row r="1499" spans="7:10" x14ac:dyDescent="0.3">
      <c r="G1499" s="12" t="s">
        <v>15</v>
      </c>
      <c r="H1499" s="12" t="s">
        <v>1352</v>
      </c>
      <c r="I1499" s="12" t="s">
        <v>907</v>
      </c>
      <c r="J1499" s="129" t="str">
        <f t="shared" si="48"/>
        <v>Natural w/Inlay</v>
      </c>
    </row>
    <row r="1500" spans="7:10" x14ac:dyDescent="0.3">
      <c r="G1500" s="12" t="s">
        <v>15</v>
      </c>
      <c r="H1500" s="12" t="s">
        <v>1352</v>
      </c>
      <c r="I1500" s="12" t="s">
        <v>909</v>
      </c>
      <c r="J1500" s="129" t="str">
        <f t="shared" si="48"/>
        <v>Natural w/Accent</v>
      </c>
    </row>
    <row r="1501" spans="7:10" x14ac:dyDescent="0.3">
      <c r="G1501" s="12" t="s">
        <v>15</v>
      </c>
      <c r="H1501" s="12" t="s">
        <v>1352</v>
      </c>
      <c r="I1501" s="12" t="s">
        <v>313</v>
      </c>
      <c r="J1501" s="129" t="str">
        <f t="shared" si="48"/>
        <v>Sable Black</v>
      </c>
    </row>
    <row r="1502" spans="7:10" x14ac:dyDescent="0.3">
      <c r="G1502" s="12" t="s">
        <v>16</v>
      </c>
      <c r="H1502" s="12" t="s">
        <v>1352</v>
      </c>
      <c r="I1502" s="12" t="s">
        <v>902</v>
      </c>
      <c r="J1502" s="129" t="str">
        <f t="shared" si="48"/>
        <v>Satin Sable w/Inlay</v>
      </c>
    </row>
    <row r="1503" spans="7:10" x14ac:dyDescent="0.3">
      <c r="G1503" s="12" t="s">
        <v>16</v>
      </c>
      <c r="H1503" s="12" t="s">
        <v>1352</v>
      </c>
      <c r="I1503" s="12" t="s">
        <v>904</v>
      </c>
      <c r="J1503" s="129" t="str">
        <f t="shared" si="48"/>
        <v>Satin Natural w/Inlay</v>
      </c>
    </row>
    <row r="1504" spans="7:10" x14ac:dyDescent="0.3">
      <c r="G1504" s="12" t="s">
        <v>16</v>
      </c>
      <c r="H1504" s="12" t="s">
        <v>1352</v>
      </c>
      <c r="I1504" s="12" t="s">
        <v>26</v>
      </c>
      <c r="J1504" s="129" t="str">
        <f t="shared" si="48"/>
        <v>Satin Sable</v>
      </c>
    </row>
    <row r="1505" spans="7:10" x14ac:dyDescent="0.3">
      <c r="G1505" s="12" t="s">
        <v>16</v>
      </c>
      <c r="H1505" s="12" t="s">
        <v>1352</v>
      </c>
      <c r="I1505" s="12" t="s">
        <v>914</v>
      </c>
      <c r="J1505" s="129" t="str">
        <f t="shared" si="48"/>
        <v>Satin Sable w/Accent</v>
      </c>
    </row>
    <row r="1506" spans="7:10" x14ac:dyDescent="0.3">
      <c r="G1506" s="12" t="s">
        <v>16</v>
      </c>
      <c r="H1506" s="12" t="s">
        <v>1352</v>
      </c>
      <c r="I1506" s="12" t="s">
        <v>321</v>
      </c>
      <c r="J1506" s="129" t="str">
        <f t="shared" si="48"/>
        <v>Satin Natural</v>
      </c>
    </row>
    <row r="1507" spans="7:10" x14ac:dyDescent="0.3">
      <c r="G1507" s="12" t="s">
        <v>16</v>
      </c>
      <c r="H1507" s="12" t="s">
        <v>1352</v>
      </c>
      <c r="I1507" s="12" t="s">
        <v>912</v>
      </c>
      <c r="J1507" s="129" t="str">
        <f t="shared" si="48"/>
        <v>Satin Natural w/Accent</v>
      </c>
    </row>
    <row r="1508" spans="7:10" x14ac:dyDescent="0.3">
      <c r="G1508" s="12" t="s">
        <v>16</v>
      </c>
      <c r="H1508" s="12" t="s">
        <v>1352</v>
      </c>
      <c r="I1508" s="12" t="s">
        <v>309</v>
      </c>
      <c r="J1508" s="129" t="str">
        <f t="shared" si="48"/>
        <v>Natural Hoop</v>
      </c>
    </row>
    <row r="1509" spans="7:10" x14ac:dyDescent="0.3">
      <c r="G1509" s="12" t="s">
        <v>16</v>
      </c>
      <c r="H1509" s="12" t="s">
        <v>1352</v>
      </c>
      <c r="I1509" s="12" t="s">
        <v>907</v>
      </c>
      <c r="J1509" s="129" t="str">
        <f t="shared" si="48"/>
        <v>Natural w/Inlay</v>
      </c>
    </row>
    <row r="1510" spans="7:10" x14ac:dyDescent="0.3">
      <c r="G1510" s="12" t="s">
        <v>16</v>
      </c>
      <c r="H1510" s="12" t="s">
        <v>1352</v>
      </c>
      <c r="I1510" s="12" t="s">
        <v>909</v>
      </c>
      <c r="J1510" s="129" t="str">
        <f t="shared" si="48"/>
        <v>Natural w/Accent</v>
      </c>
    </row>
    <row r="1511" spans="7:10" x14ac:dyDescent="0.3">
      <c r="G1511" s="12" t="s">
        <v>16</v>
      </c>
      <c r="H1511" s="12" t="s">
        <v>1352</v>
      </c>
      <c r="I1511" s="12" t="s">
        <v>313</v>
      </c>
      <c r="J1511" s="129" t="str">
        <f t="shared" si="48"/>
        <v>Sable Black</v>
      </c>
    </row>
    <row r="1512" spans="7:10" x14ac:dyDescent="0.3">
      <c r="G1512" s="12" t="s">
        <v>17</v>
      </c>
      <c r="H1512" s="12" t="s">
        <v>1352</v>
      </c>
      <c r="I1512" s="12" t="s">
        <v>902</v>
      </c>
      <c r="J1512" s="129" t="str">
        <f t="shared" si="48"/>
        <v>Satin Sable w/Inlay</v>
      </c>
    </row>
    <row r="1513" spans="7:10" x14ac:dyDescent="0.3">
      <c r="G1513" s="12" t="s">
        <v>17</v>
      </c>
      <c r="H1513" s="12" t="s">
        <v>1352</v>
      </c>
      <c r="I1513" s="12" t="s">
        <v>904</v>
      </c>
      <c r="J1513" s="129" t="str">
        <f t="shared" si="48"/>
        <v>Satin Natural w/Inlay</v>
      </c>
    </row>
    <row r="1514" spans="7:10" x14ac:dyDescent="0.3">
      <c r="G1514" s="12" t="s">
        <v>17</v>
      </c>
      <c r="H1514" s="12" t="s">
        <v>1352</v>
      </c>
      <c r="I1514" s="12" t="s">
        <v>26</v>
      </c>
      <c r="J1514" s="129" t="str">
        <f t="shared" si="48"/>
        <v>Satin Sable</v>
      </c>
    </row>
    <row r="1515" spans="7:10" x14ac:dyDescent="0.3">
      <c r="G1515" s="12" t="s">
        <v>17</v>
      </c>
      <c r="H1515" s="12" t="s">
        <v>1352</v>
      </c>
      <c r="I1515" s="12" t="s">
        <v>914</v>
      </c>
      <c r="J1515" s="129" t="str">
        <f t="shared" si="48"/>
        <v>Satin Sable w/Accent</v>
      </c>
    </row>
    <row r="1516" spans="7:10" x14ac:dyDescent="0.3">
      <c r="G1516" s="12" t="s">
        <v>17</v>
      </c>
      <c r="H1516" s="12" t="s">
        <v>1352</v>
      </c>
      <c r="I1516" s="12" t="s">
        <v>321</v>
      </c>
      <c r="J1516" s="129" t="str">
        <f t="shared" si="48"/>
        <v>Satin Natural</v>
      </c>
    </row>
    <row r="1517" spans="7:10" x14ac:dyDescent="0.3">
      <c r="G1517" s="12" t="s">
        <v>17</v>
      </c>
      <c r="H1517" s="12" t="s">
        <v>1352</v>
      </c>
      <c r="I1517" s="12" t="s">
        <v>912</v>
      </c>
      <c r="J1517" s="129" t="str">
        <f t="shared" si="48"/>
        <v>Satin Natural w/Accent</v>
      </c>
    </row>
    <row r="1518" spans="7:10" x14ac:dyDescent="0.3">
      <c r="G1518" s="12" t="s">
        <v>17</v>
      </c>
      <c r="H1518" s="12" t="s">
        <v>1352</v>
      </c>
      <c r="I1518" s="12" t="s">
        <v>309</v>
      </c>
      <c r="J1518" s="129" t="str">
        <f t="shared" si="48"/>
        <v>Natural Hoop</v>
      </c>
    </row>
    <row r="1519" spans="7:10" x14ac:dyDescent="0.3">
      <c r="G1519" s="12" t="s">
        <v>17</v>
      </c>
      <c r="H1519" s="12" t="s">
        <v>1352</v>
      </c>
      <c r="I1519" s="12" t="s">
        <v>907</v>
      </c>
      <c r="J1519" s="129" t="str">
        <f t="shared" si="48"/>
        <v>Natural w/Inlay</v>
      </c>
    </row>
    <row r="1520" spans="7:10" x14ac:dyDescent="0.3">
      <c r="G1520" s="12" t="s">
        <v>17</v>
      </c>
      <c r="H1520" s="12" t="s">
        <v>1352</v>
      </c>
      <c r="I1520" s="12" t="s">
        <v>909</v>
      </c>
      <c r="J1520" s="129" t="str">
        <f t="shared" si="48"/>
        <v>Natural w/Accent</v>
      </c>
    </row>
    <row r="1521" spans="7:10" x14ac:dyDescent="0.3">
      <c r="G1521" s="12" t="s">
        <v>17</v>
      </c>
      <c r="H1521" s="12" t="s">
        <v>1352</v>
      </c>
      <c r="I1521" s="12" t="s">
        <v>313</v>
      </c>
      <c r="J1521" s="129" t="str">
        <f t="shared" si="48"/>
        <v>Sable Black</v>
      </c>
    </row>
    <row r="1522" spans="7:10" x14ac:dyDescent="0.3">
      <c r="G1522" s="12" t="s">
        <v>19</v>
      </c>
      <c r="H1522" s="12" t="s">
        <v>1352</v>
      </c>
      <c r="I1522" s="12" t="s">
        <v>902</v>
      </c>
      <c r="J1522" s="129" t="str">
        <f t="shared" si="48"/>
        <v>Satin Sable w/Inlay</v>
      </c>
    </row>
    <row r="1523" spans="7:10" x14ac:dyDescent="0.3">
      <c r="G1523" s="12" t="s">
        <v>19</v>
      </c>
      <c r="H1523" s="12" t="s">
        <v>1352</v>
      </c>
      <c r="I1523" s="12" t="s">
        <v>904</v>
      </c>
      <c r="J1523" s="129" t="str">
        <f t="shared" si="48"/>
        <v>Satin Natural w/Inlay</v>
      </c>
    </row>
    <row r="1524" spans="7:10" x14ac:dyDescent="0.3">
      <c r="G1524" s="12" t="s">
        <v>19</v>
      </c>
      <c r="H1524" s="12" t="s">
        <v>1352</v>
      </c>
      <c r="I1524" s="12" t="s">
        <v>26</v>
      </c>
      <c r="J1524" s="129" t="str">
        <f t="shared" si="48"/>
        <v>Satin Sable</v>
      </c>
    </row>
    <row r="1525" spans="7:10" x14ac:dyDescent="0.3">
      <c r="G1525" s="12" t="s">
        <v>19</v>
      </c>
      <c r="H1525" s="12" t="s">
        <v>1352</v>
      </c>
      <c r="I1525" s="12" t="s">
        <v>914</v>
      </c>
      <c r="J1525" s="129" t="str">
        <f t="shared" si="48"/>
        <v>Satin Sable w/Accent</v>
      </c>
    </row>
    <row r="1526" spans="7:10" x14ac:dyDescent="0.3">
      <c r="G1526" s="12" t="s">
        <v>19</v>
      </c>
      <c r="H1526" s="12" t="s">
        <v>1352</v>
      </c>
      <c r="I1526" s="12" t="s">
        <v>321</v>
      </c>
      <c r="J1526" s="129" t="str">
        <f t="shared" si="48"/>
        <v>Satin Natural</v>
      </c>
    </row>
    <row r="1527" spans="7:10" x14ac:dyDescent="0.3">
      <c r="G1527" s="12" t="s">
        <v>19</v>
      </c>
      <c r="H1527" s="12" t="s">
        <v>1352</v>
      </c>
      <c r="I1527" s="12" t="s">
        <v>912</v>
      </c>
      <c r="J1527" s="129" t="str">
        <f t="shared" si="48"/>
        <v>Satin Natural w/Accent</v>
      </c>
    </row>
    <row r="1528" spans="7:10" x14ac:dyDescent="0.3">
      <c r="G1528" s="12" t="s">
        <v>19</v>
      </c>
      <c r="H1528" s="12" t="s">
        <v>1352</v>
      </c>
      <c r="I1528" s="12" t="s">
        <v>309</v>
      </c>
      <c r="J1528" s="129" t="str">
        <f t="shared" si="48"/>
        <v>Natural Hoop</v>
      </c>
    </row>
    <row r="1529" spans="7:10" x14ac:dyDescent="0.3">
      <c r="G1529" s="12" t="s">
        <v>19</v>
      </c>
      <c r="H1529" s="12" t="s">
        <v>1352</v>
      </c>
      <c r="I1529" s="12" t="s">
        <v>313</v>
      </c>
      <c r="J1529" s="129" t="str">
        <f t="shared" si="48"/>
        <v>Sable Black</v>
      </c>
    </row>
    <row r="1530" spans="7:10" x14ac:dyDescent="0.3">
      <c r="G1530" s="12" t="s">
        <v>15</v>
      </c>
      <c r="H1530" s="12" t="s">
        <v>931</v>
      </c>
      <c r="I1530" s="12" t="s">
        <v>902</v>
      </c>
      <c r="J1530" s="129" t="str">
        <f t="shared" si="48"/>
        <v>Satin Sable w/Inlay</v>
      </c>
    </row>
    <row r="1531" spans="7:10" x14ac:dyDescent="0.3">
      <c r="G1531" s="12" t="s">
        <v>15</v>
      </c>
      <c r="H1531" s="12" t="s">
        <v>931</v>
      </c>
      <c r="I1531" s="12" t="s">
        <v>904</v>
      </c>
      <c r="J1531" s="129" t="str">
        <f t="shared" si="48"/>
        <v>Satin Natural w/Inlay</v>
      </c>
    </row>
    <row r="1532" spans="7:10" x14ac:dyDescent="0.3">
      <c r="G1532" s="12" t="s">
        <v>15</v>
      </c>
      <c r="H1532" s="12" t="s">
        <v>931</v>
      </c>
      <c r="I1532" s="12" t="s">
        <v>26</v>
      </c>
      <c r="J1532" s="129" t="str">
        <f t="shared" si="48"/>
        <v>Satin Sable</v>
      </c>
    </row>
    <row r="1533" spans="7:10" x14ac:dyDescent="0.3">
      <c r="G1533" s="12" t="s">
        <v>15</v>
      </c>
      <c r="H1533" s="12" t="s">
        <v>931</v>
      </c>
      <c r="I1533" s="12" t="s">
        <v>914</v>
      </c>
      <c r="J1533" s="129" t="str">
        <f t="shared" si="48"/>
        <v>Satin Sable w/Accent</v>
      </c>
    </row>
    <row r="1534" spans="7:10" x14ac:dyDescent="0.3">
      <c r="G1534" s="12" t="s">
        <v>15</v>
      </c>
      <c r="H1534" s="12" t="s">
        <v>931</v>
      </c>
      <c r="I1534" s="12" t="s">
        <v>321</v>
      </c>
      <c r="J1534" s="129" t="str">
        <f t="shared" si="48"/>
        <v>Satin Natural</v>
      </c>
    </row>
    <row r="1535" spans="7:10" x14ac:dyDescent="0.3">
      <c r="G1535" s="12" t="s">
        <v>15</v>
      </c>
      <c r="H1535" s="12" t="s">
        <v>931</v>
      </c>
      <c r="I1535" s="12" t="s">
        <v>912</v>
      </c>
      <c r="J1535" s="129" t="str">
        <f t="shared" si="48"/>
        <v>Satin Natural w/Accent</v>
      </c>
    </row>
    <row r="1536" spans="7:10" x14ac:dyDescent="0.3">
      <c r="G1536" s="12" t="s">
        <v>15</v>
      </c>
      <c r="H1536" s="12" t="s">
        <v>931</v>
      </c>
      <c r="I1536" s="12" t="s">
        <v>309</v>
      </c>
      <c r="J1536" s="129" t="str">
        <f t="shared" si="48"/>
        <v>Natural Hoop</v>
      </c>
    </row>
    <row r="1537" spans="7:10" x14ac:dyDescent="0.3">
      <c r="G1537" s="12" t="s">
        <v>15</v>
      </c>
      <c r="H1537" s="12" t="s">
        <v>931</v>
      </c>
      <c r="I1537" s="12" t="s">
        <v>907</v>
      </c>
      <c r="J1537" s="129" t="str">
        <f t="shared" si="48"/>
        <v>Natural w/Inlay</v>
      </c>
    </row>
    <row r="1538" spans="7:10" x14ac:dyDescent="0.3">
      <c r="G1538" s="12" t="s">
        <v>15</v>
      </c>
      <c r="H1538" s="12" t="s">
        <v>931</v>
      </c>
      <c r="I1538" s="12" t="s">
        <v>909</v>
      </c>
      <c r="J1538" s="129" t="str">
        <f t="shared" si="48"/>
        <v>Natural w/Accent</v>
      </c>
    </row>
    <row r="1539" spans="7:10" x14ac:dyDescent="0.3">
      <c r="G1539" s="12" t="s">
        <v>15</v>
      </c>
      <c r="H1539" s="12" t="s">
        <v>931</v>
      </c>
      <c r="I1539" s="12" t="s">
        <v>313</v>
      </c>
      <c r="J1539" s="129" t="str">
        <f t="shared" si="48"/>
        <v>Sable Black</v>
      </c>
    </row>
    <row r="1540" spans="7:10" x14ac:dyDescent="0.3">
      <c r="G1540" s="12" t="s">
        <v>16</v>
      </c>
      <c r="H1540" s="12" t="s">
        <v>931</v>
      </c>
      <c r="I1540" s="12" t="s">
        <v>902</v>
      </c>
      <c r="J1540" s="129" t="str">
        <f t="shared" si="48"/>
        <v>Satin Sable w/Inlay</v>
      </c>
    </row>
    <row r="1541" spans="7:10" x14ac:dyDescent="0.3">
      <c r="G1541" s="12" t="s">
        <v>16</v>
      </c>
      <c r="H1541" s="12" t="s">
        <v>931</v>
      </c>
      <c r="I1541" s="12" t="s">
        <v>904</v>
      </c>
      <c r="J1541" s="129" t="str">
        <f t="shared" si="48"/>
        <v>Satin Natural w/Inlay</v>
      </c>
    </row>
    <row r="1542" spans="7:10" x14ac:dyDescent="0.3">
      <c r="G1542" s="12" t="s">
        <v>16</v>
      </c>
      <c r="H1542" s="12" t="s">
        <v>931</v>
      </c>
      <c r="I1542" s="12" t="s">
        <v>26</v>
      </c>
      <c r="J1542" s="129" t="str">
        <f t="shared" si="48"/>
        <v>Satin Sable</v>
      </c>
    </row>
    <row r="1543" spans="7:10" x14ac:dyDescent="0.3">
      <c r="G1543" s="12" t="s">
        <v>16</v>
      </c>
      <c r="H1543" s="12" t="s">
        <v>931</v>
      </c>
      <c r="I1543" s="12" t="s">
        <v>914</v>
      </c>
      <c r="J1543" s="129" t="str">
        <f t="shared" si="48"/>
        <v>Satin Sable w/Accent</v>
      </c>
    </row>
    <row r="1544" spans="7:10" x14ac:dyDescent="0.3">
      <c r="G1544" s="12" t="s">
        <v>16</v>
      </c>
      <c r="H1544" s="12" t="s">
        <v>931</v>
      </c>
      <c r="I1544" s="12" t="s">
        <v>321</v>
      </c>
      <c r="J1544" s="129" t="str">
        <f t="shared" si="48"/>
        <v>Satin Natural</v>
      </c>
    </row>
    <row r="1545" spans="7:10" x14ac:dyDescent="0.3">
      <c r="G1545" s="12" t="s">
        <v>16</v>
      </c>
      <c r="H1545" s="12" t="s">
        <v>931</v>
      </c>
      <c r="I1545" s="12" t="s">
        <v>912</v>
      </c>
      <c r="J1545" s="129" t="str">
        <f t="shared" si="48"/>
        <v>Satin Natural w/Accent</v>
      </c>
    </row>
    <row r="1546" spans="7:10" x14ac:dyDescent="0.3">
      <c r="G1546" s="12" t="s">
        <v>16</v>
      </c>
      <c r="H1546" s="12" t="s">
        <v>931</v>
      </c>
      <c r="I1546" s="12" t="s">
        <v>309</v>
      </c>
      <c r="J1546" s="129" t="str">
        <f t="shared" si="48"/>
        <v>Natural Hoop</v>
      </c>
    </row>
    <row r="1547" spans="7:10" x14ac:dyDescent="0.3">
      <c r="G1547" s="12" t="s">
        <v>16</v>
      </c>
      <c r="H1547" s="12" t="s">
        <v>931</v>
      </c>
      <c r="I1547" s="12" t="s">
        <v>907</v>
      </c>
      <c r="J1547" s="129" t="str">
        <f t="shared" si="48"/>
        <v>Natural w/Inlay</v>
      </c>
    </row>
    <row r="1548" spans="7:10" x14ac:dyDescent="0.3">
      <c r="G1548" s="12" t="s">
        <v>16</v>
      </c>
      <c r="H1548" s="12" t="s">
        <v>931</v>
      </c>
      <c r="I1548" s="12" t="s">
        <v>909</v>
      </c>
      <c r="J1548" s="129" t="str">
        <f t="shared" si="48"/>
        <v>Natural w/Accent</v>
      </c>
    </row>
    <row r="1549" spans="7:10" x14ac:dyDescent="0.3">
      <c r="G1549" s="12" t="s">
        <v>16</v>
      </c>
      <c r="H1549" s="12" t="s">
        <v>931</v>
      </c>
      <c r="I1549" s="12" t="s">
        <v>313</v>
      </c>
      <c r="J1549" s="129" t="str">
        <f t="shared" si="48"/>
        <v>Sable Black</v>
      </c>
    </row>
    <row r="1550" spans="7:10" x14ac:dyDescent="0.3">
      <c r="G1550" s="12" t="s">
        <v>17</v>
      </c>
      <c r="H1550" s="12" t="s">
        <v>931</v>
      </c>
      <c r="I1550" s="12" t="s">
        <v>902</v>
      </c>
      <c r="J1550" s="129" t="str">
        <f t="shared" si="48"/>
        <v>Satin Sable w/Inlay</v>
      </c>
    </row>
    <row r="1551" spans="7:10" x14ac:dyDescent="0.3">
      <c r="G1551" s="12" t="s">
        <v>17</v>
      </c>
      <c r="H1551" s="12" t="s">
        <v>931</v>
      </c>
      <c r="I1551" s="12" t="s">
        <v>904</v>
      </c>
      <c r="J1551" s="129" t="str">
        <f t="shared" si="48"/>
        <v>Satin Natural w/Inlay</v>
      </c>
    </row>
    <row r="1552" spans="7:10" x14ac:dyDescent="0.3">
      <c r="G1552" s="12" t="s">
        <v>17</v>
      </c>
      <c r="H1552" s="12" t="s">
        <v>931</v>
      </c>
      <c r="I1552" s="12" t="s">
        <v>26</v>
      </c>
      <c r="J1552" s="129" t="str">
        <f t="shared" si="48"/>
        <v>Satin Sable</v>
      </c>
    </row>
    <row r="1553" spans="7:10" x14ac:dyDescent="0.3">
      <c r="G1553" s="12" t="s">
        <v>17</v>
      </c>
      <c r="H1553" s="12" t="s">
        <v>931</v>
      </c>
      <c r="I1553" s="12" t="s">
        <v>914</v>
      </c>
      <c r="J1553" s="129" t="str">
        <f t="shared" si="48"/>
        <v>Satin Sable w/Accent</v>
      </c>
    </row>
    <row r="1554" spans="7:10" x14ac:dyDescent="0.3">
      <c r="G1554" s="12" t="s">
        <v>17</v>
      </c>
      <c r="H1554" s="12" t="s">
        <v>931</v>
      </c>
      <c r="I1554" s="12" t="s">
        <v>321</v>
      </c>
      <c r="J1554" s="129" t="str">
        <f t="shared" si="48"/>
        <v>Satin Natural</v>
      </c>
    </row>
    <row r="1555" spans="7:10" x14ac:dyDescent="0.3">
      <c r="G1555" s="12" t="s">
        <v>17</v>
      </c>
      <c r="H1555" s="12" t="s">
        <v>931</v>
      </c>
      <c r="I1555" s="12" t="s">
        <v>912</v>
      </c>
      <c r="J1555" s="129" t="str">
        <f t="shared" si="48"/>
        <v>Satin Natural w/Accent</v>
      </c>
    </row>
    <row r="1556" spans="7:10" x14ac:dyDescent="0.3">
      <c r="G1556" s="12" t="s">
        <v>17</v>
      </c>
      <c r="H1556" s="12" t="s">
        <v>931</v>
      </c>
      <c r="I1556" s="12" t="s">
        <v>309</v>
      </c>
      <c r="J1556" s="129" t="str">
        <f t="shared" ref="J1556:J1619" si="49">INDEX($C$3:$C$15,MATCH(I1556,$B$3:$B$15,0))</f>
        <v>Natural Hoop</v>
      </c>
    </row>
    <row r="1557" spans="7:10" x14ac:dyDescent="0.3">
      <c r="G1557" s="12" t="s">
        <v>17</v>
      </c>
      <c r="H1557" s="12" t="s">
        <v>931</v>
      </c>
      <c r="I1557" s="12" t="s">
        <v>907</v>
      </c>
      <c r="J1557" s="129" t="str">
        <f t="shared" si="49"/>
        <v>Natural w/Inlay</v>
      </c>
    </row>
    <row r="1558" spans="7:10" x14ac:dyDescent="0.3">
      <c r="G1558" s="12" t="s">
        <v>17</v>
      </c>
      <c r="H1558" s="12" t="s">
        <v>931</v>
      </c>
      <c r="I1558" s="12" t="s">
        <v>909</v>
      </c>
      <c r="J1558" s="129" t="str">
        <f t="shared" si="49"/>
        <v>Natural w/Accent</v>
      </c>
    </row>
    <row r="1559" spans="7:10" x14ac:dyDescent="0.3">
      <c r="G1559" s="12" t="s">
        <v>17</v>
      </c>
      <c r="H1559" s="12" t="s">
        <v>931</v>
      </c>
      <c r="I1559" s="12" t="s">
        <v>313</v>
      </c>
      <c r="J1559" s="129" t="str">
        <f t="shared" si="49"/>
        <v>Sable Black</v>
      </c>
    </row>
    <row r="1560" spans="7:10" x14ac:dyDescent="0.3">
      <c r="G1560" s="12" t="s">
        <v>19</v>
      </c>
      <c r="H1560" s="12" t="s">
        <v>931</v>
      </c>
      <c r="I1560" s="12" t="s">
        <v>902</v>
      </c>
      <c r="J1560" s="129" t="str">
        <f t="shared" si="49"/>
        <v>Satin Sable w/Inlay</v>
      </c>
    </row>
    <row r="1561" spans="7:10" x14ac:dyDescent="0.3">
      <c r="G1561" s="12" t="s">
        <v>19</v>
      </c>
      <c r="H1561" s="12" t="s">
        <v>931</v>
      </c>
      <c r="I1561" s="12" t="s">
        <v>904</v>
      </c>
      <c r="J1561" s="129" t="str">
        <f t="shared" si="49"/>
        <v>Satin Natural w/Inlay</v>
      </c>
    </row>
    <row r="1562" spans="7:10" x14ac:dyDescent="0.3">
      <c r="G1562" s="12" t="s">
        <v>19</v>
      </c>
      <c r="H1562" s="12" t="s">
        <v>931</v>
      </c>
      <c r="I1562" s="12" t="s">
        <v>26</v>
      </c>
      <c r="J1562" s="129" t="str">
        <f t="shared" si="49"/>
        <v>Satin Sable</v>
      </c>
    </row>
    <row r="1563" spans="7:10" x14ac:dyDescent="0.3">
      <c r="G1563" s="12" t="s">
        <v>19</v>
      </c>
      <c r="H1563" s="12" t="s">
        <v>931</v>
      </c>
      <c r="I1563" s="12" t="s">
        <v>914</v>
      </c>
      <c r="J1563" s="129" t="str">
        <f t="shared" si="49"/>
        <v>Satin Sable w/Accent</v>
      </c>
    </row>
    <row r="1564" spans="7:10" x14ac:dyDescent="0.3">
      <c r="G1564" s="12" t="s">
        <v>19</v>
      </c>
      <c r="H1564" s="12" t="s">
        <v>931</v>
      </c>
      <c r="I1564" s="12" t="s">
        <v>321</v>
      </c>
      <c r="J1564" s="129" t="str">
        <f t="shared" si="49"/>
        <v>Satin Natural</v>
      </c>
    </row>
    <row r="1565" spans="7:10" x14ac:dyDescent="0.3">
      <c r="G1565" s="12" t="s">
        <v>19</v>
      </c>
      <c r="H1565" s="12" t="s">
        <v>931</v>
      </c>
      <c r="I1565" s="12" t="s">
        <v>912</v>
      </c>
      <c r="J1565" s="129" t="str">
        <f t="shared" si="49"/>
        <v>Satin Natural w/Accent</v>
      </c>
    </row>
    <row r="1566" spans="7:10" x14ac:dyDescent="0.3">
      <c r="G1566" s="12" t="s">
        <v>19</v>
      </c>
      <c r="H1566" s="12" t="s">
        <v>931</v>
      </c>
      <c r="I1566" s="12" t="s">
        <v>309</v>
      </c>
      <c r="J1566" s="129" t="str">
        <f t="shared" si="49"/>
        <v>Natural Hoop</v>
      </c>
    </row>
    <row r="1567" spans="7:10" x14ac:dyDescent="0.3">
      <c r="G1567" s="12" t="s">
        <v>19</v>
      </c>
      <c r="H1567" s="12" t="s">
        <v>931</v>
      </c>
      <c r="I1567" s="12" t="s">
        <v>313</v>
      </c>
      <c r="J1567" s="129" t="str">
        <f t="shared" si="49"/>
        <v>Sable Black</v>
      </c>
    </row>
    <row r="1568" spans="7:10" x14ac:dyDescent="0.3">
      <c r="G1568" s="16" t="s">
        <v>15</v>
      </c>
      <c r="H1568" s="16" t="s">
        <v>1884</v>
      </c>
      <c r="I1568" s="12" t="s">
        <v>902</v>
      </c>
      <c r="J1568" s="129" t="str">
        <f t="shared" si="49"/>
        <v>Satin Sable w/Inlay</v>
      </c>
    </row>
    <row r="1569" spans="7:10" x14ac:dyDescent="0.3">
      <c r="G1569" s="16" t="s">
        <v>15</v>
      </c>
      <c r="H1569" s="16" t="s">
        <v>1884</v>
      </c>
      <c r="I1569" s="12" t="s">
        <v>904</v>
      </c>
      <c r="J1569" s="129" t="str">
        <f t="shared" si="49"/>
        <v>Satin Natural w/Inlay</v>
      </c>
    </row>
    <row r="1570" spans="7:10" x14ac:dyDescent="0.3">
      <c r="G1570" s="16" t="s">
        <v>15</v>
      </c>
      <c r="H1570" s="16" t="s">
        <v>1884</v>
      </c>
      <c r="I1570" s="12" t="s">
        <v>26</v>
      </c>
      <c r="J1570" s="129" t="str">
        <f t="shared" si="49"/>
        <v>Satin Sable</v>
      </c>
    </row>
    <row r="1571" spans="7:10" x14ac:dyDescent="0.3">
      <c r="G1571" s="16" t="s">
        <v>15</v>
      </c>
      <c r="H1571" s="16" t="s">
        <v>1884</v>
      </c>
      <c r="I1571" s="12" t="s">
        <v>914</v>
      </c>
      <c r="J1571" s="129" t="str">
        <f t="shared" si="49"/>
        <v>Satin Sable w/Accent</v>
      </c>
    </row>
    <row r="1572" spans="7:10" x14ac:dyDescent="0.3">
      <c r="G1572" s="16" t="s">
        <v>15</v>
      </c>
      <c r="H1572" s="16" t="s">
        <v>1884</v>
      </c>
      <c r="I1572" s="12" t="s">
        <v>321</v>
      </c>
      <c r="J1572" s="129" t="str">
        <f t="shared" si="49"/>
        <v>Satin Natural</v>
      </c>
    </row>
    <row r="1573" spans="7:10" x14ac:dyDescent="0.3">
      <c r="G1573" s="16" t="s">
        <v>15</v>
      </c>
      <c r="H1573" s="16" t="s">
        <v>1884</v>
      </c>
      <c r="I1573" s="12" t="s">
        <v>912</v>
      </c>
      <c r="J1573" s="129" t="str">
        <f t="shared" si="49"/>
        <v>Satin Natural w/Accent</v>
      </c>
    </row>
    <row r="1574" spans="7:10" x14ac:dyDescent="0.3">
      <c r="G1574" s="16" t="s">
        <v>15</v>
      </c>
      <c r="H1574" s="16" t="s">
        <v>1884</v>
      </c>
      <c r="I1574" s="12" t="s">
        <v>309</v>
      </c>
      <c r="J1574" s="129" t="str">
        <f t="shared" si="49"/>
        <v>Natural Hoop</v>
      </c>
    </row>
    <row r="1575" spans="7:10" x14ac:dyDescent="0.3">
      <c r="G1575" s="16" t="s">
        <v>15</v>
      </c>
      <c r="H1575" s="16" t="s">
        <v>1884</v>
      </c>
      <c r="I1575" s="12" t="s">
        <v>907</v>
      </c>
      <c r="J1575" s="129" t="str">
        <f t="shared" si="49"/>
        <v>Natural w/Inlay</v>
      </c>
    </row>
    <row r="1576" spans="7:10" x14ac:dyDescent="0.3">
      <c r="G1576" s="16" t="s">
        <v>15</v>
      </c>
      <c r="H1576" s="16" t="s">
        <v>1884</v>
      </c>
      <c r="I1576" s="12" t="s">
        <v>909</v>
      </c>
      <c r="J1576" s="129" t="str">
        <f t="shared" si="49"/>
        <v>Natural w/Accent</v>
      </c>
    </row>
    <row r="1577" spans="7:10" x14ac:dyDescent="0.3">
      <c r="G1577" s="16" t="s">
        <v>15</v>
      </c>
      <c r="H1577" s="16" t="s">
        <v>1884</v>
      </c>
      <c r="I1577" s="12" t="s">
        <v>313</v>
      </c>
      <c r="J1577" s="129" t="str">
        <f t="shared" si="49"/>
        <v>Sable Black</v>
      </c>
    </row>
    <row r="1578" spans="7:10" x14ac:dyDescent="0.3">
      <c r="G1578" s="16" t="s">
        <v>16</v>
      </c>
      <c r="H1578" s="16" t="s">
        <v>1884</v>
      </c>
      <c r="I1578" s="12" t="s">
        <v>902</v>
      </c>
      <c r="J1578" s="129" t="str">
        <f t="shared" si="49"/>
        <v>Satin Sable w/Inlay</v>
      </c>
    </row>
    <row r="1579" spans="7:10" x14ac:dyDescent="0.3">
      <c r="G1579" s="16" t="s">
        <v>16</v>
      </c>
      <c r="H1579" s="16" t="s">
        <v>1884</v>
      </c>
      <c r="I1579" s="12" t="s">
        <v>904</v>
      </c>
      <c r="J1579" s="129" t="str">
        <f t="shared" si="49"/>
        <v>Satin Natural w/Inlay</v>
      </c>
    </row>
    <row r="1580" spans="7:10" x14ac:dyDescent="0.3">
      <c r="G1580" s="16" t="s">
        <v>16</v>
      </c>
      <c r="H1580" s="16" t="s">
        <v>1884</v>
      </c>
      <c r="I1580" s="12" t="s">
        <v>26</v>
      </c>
      <c r="J1580" s="129" t="str">
        <f t="shared" si="49"/>
        <v>Satin Sable</v>
      </c>
    </row>
    <row r="1581" spans="7:10" x14ac:dyDescent="0.3">
      <c r="G1581" s="16" t="s">
        <v>16</v>
      </c>
      <c r="H1581" s="16" t="s">
        <v>1884</v>
      </c>
      <c r="I1581" s="12" t="s">
        <v>914</v>
      </c>
      <c r="J1581" s="129" t="str">
        <f t="shared" si="49"/>
        <v>Satin Sable w/Accent</v>
      </c>
    </row>
    <row r="1582" spans="7:10" x14ac:dyDescent="0.3">
      <c r="G1582" s="16" t="s">
        <v>16</v>
      </c>
      <c r="H1582" s="16" t="s">
        <v>1884</v>
      </c>
      <c r="I1582" s="12" t="s">
        <v>321</v>
      </c>
      <c r="J1582" s="129" t="str">
        <f t="shared" si="49"/>
        <v>Satin Natural</v>
      </c>
    </row>
    <row r="1583" spans="7:10" x14ac:dyDescent="0.3">
      <c r="G1583" s="16" t="s">
        <v>16</v>
      </c>
      <c r="H1583" s="16" t="s">
        <v>1884</v>
      </c>
      <c r="I1583" s="12" t="s">
        <v>912</v>
      </c>
      <c r="J1583" s="129" t="str">
        <f t="shared" si="49"/>
        <v>Satin Natural w/Accent</v>
      </c>
    </row>
    <row r="1584" spans="7:10" x14ac:dyDescent="0.3">
      <c r="G1584" s="16" t="s">
        <v>16</v>
      </c>
      <c r="H1584" s="16" t="s">
        <v>1884</v>
      </c>
      <c r="I1584" s="12" t="s">
        <v>309</v>
      </c>
      <c r="J1584" s="129" t="str">
        <f t="shared" si="49"/>
        <v>Natural Hoop</v>
      </c>
    </row>
    <row r="1585" spans="7:10" x14ac:dyDescent="0.3">
      <c r="G1585" s="16" t="s">
        <v>16</v>
      </c>
      <c r="H1585" s="16" t="s">
        <v>1884</v>
      </c>
      <c r="I1585" s="12" t="s">
        <v>907</v>
      </c>
      <c r="J1585" s="129" t="str">
        <f t="shared" si="49"/>
        <v>Natural w/Inlay</v>
      </c>
    </row>
    <row r="1586" spans="7:10" x14ac:dyDescent="0.3">
      <c r="G1586" s="16" t="s">
        <v>16</v>
      </c>
      <c r="H1586" s="16" t="s">
        <v>1884</v>
      </c>
      <c r="I1586" s="12" t="s">
        <v>909</v>
      </c>
      <c r="J1586" s="129" t="str">
        <f t="shared" si="49"/>
        <v>Natural w/Accent</v>
      </c>
    </row>
    <row r="1587" spans="7:10" x14ac:dyDescent="0.3">
      <c r="G1587" s="16" t="s">
        <v>16</v>
      </c>
      <c r="H1587" s="16" t="s">
        <v>1884</v>
      </c>
      <c r="I1587" s="12" t="s">
        <v>313</v>
      </c>
      <c r="J1587" s="129" t="str">
        <f t="shared" si="49"/>
        <v>Sable Black</v>
      </c>
    </row>
    <row r="1588" spans="7:10" x14ac:dyDescent="0.3">
      <c r="G1588" s="16" t="s">
        <v>17</v>
      </c>
      <c r="H1588" s="16" t="s">
        <v>1884</v>
      </c>
      <c r="I1588" s="12" t="s">
        <v>902</v>
      </c>
      <c r="J1588" s="129" t="str">
        <f t="shared" si="49"/>
        <v>Satin Sable w/Inlay</v>
      </c>
    </row>
    <row r="1589" spans="7:10" x14ac:dyDescent="0.3">
      <c r="G1589" s="16" t="s">
        <v>17</v>
      </c>
      <c r="H1589" s="16" t="s">
        <v>1884</v>
      </c>
      <c r="I1589" s="12" t="s">
        <v>904</v>
      </c>
      <c r="J1589" s="129" t="str">
        <f t="shared" si="49"/>
        <v>Satin Natural w/Inlay</v>
      </c>
    </row>
    <row r="1590" spans="7:10" x14ac:dyDescent="0.3">
      <c r="G1590" s="16" t="s">
        <v>17</v>
      </c>
      <c r="H1590" s="16" t="s">
        <v>1884</v>
      </c>
      <c r="I1590" s="12" t="s">
        <v>26</v>
      </c>
      <c r="J1590" s="129" t="str">
        <f t="shared" si="49"/>
        <v>Satin Sable</v>
      </c>
    </row>
    <row r="1591" spans="7:10" x14ac:dyDescent="0.3">
      <c r="G1591" s="16" t="s">
        <v>17</v>
      </c>
      <c r="H1591" s="16" t="s">
        <v>1884</v>
      </c>
      <c r="I1591" s="12" t="s">
        <v>914</v>
      </c>
      <c r="J1591" s="129" t="str">
        <f t="shared" si="49"/>
        <v>Satin Sable w/Accent</v>
      </c>
    </row>
    <row r="1592" spans="7:10" x14ac:dyDescent="0.3">
      <c r="G1592" s="16" t="s">
        <v>17</v>
      </c>
      <c r="H1592" s="16" t="s">
        <v>1884</v>
      </c>
      <c r="I1592" s="12" t="s">
        <v>321</v>
      </c>
      <c r="J1592" s="129" t="str">
        <f t="shared" si="49"/>
        <v>Satin Natural</v>
      </c>
    </row>
    <row r="1593" spans="7:10" x14ac:dyDescent="0.3">
      <c r="G1593" s="16" t="s">
        <v>17</v>
      </c>
      <c r="H1593" s="16" t="s">
        <v>1884</v>
      </c>
      <c r="I1593" s="12" t="s">
        <v>912</v>
      </c>
      <c r="J1593" s="129" t="str">
        <f t="shared" si="49"/>
        <v>Satin Natural w/Accent</v>
      </c>
    </row>
    <row r="1594" spans="7:10" x14ac:dyDescent="0.3">
      <c r="G1594" s="16" t="s">
        <v>17</v>
      </c>
      <c r="H1594" s="16" t="s">
        <v>1884</v>
      </c>
      <c r="I1594" s="12" t="s">
        <v>309</v>
      </c>
      <c r="J1594" s="129" t="str">
        <f t="shared" si="49"/>
        <v>Natural Hoop</v>
      </c>
    </row>
    <row r="1595" spans="7:10" x14ac:dyDescent="0.3">
      <c r="G1595" s="16" t="s">
        <v>17</v>
      </c>
      <c r="H1595" s="16" t="s">
        <v>1884</v>
      </c>
      <c r="I1595" s="12" t="s">
        <v>907</v>
      </c>
      <c r="J1595" s="129" t="str">
        <f t="shared" si="49"/>
        <v>Natural w/Inlay</v>
      </c>
    </row>
    <row r="1596" spans="7:10" x14ac:dyDescent="0.3">
      <c r="G1596" s="16" t="s">
        <v>17</v>
      </c>
      <c r="H1596" s="16" t="s">
        <v>1884</v>
      </c>
      <c r="I1596" s="12" t="s">
        <v>909</v>
      </c>
      <c r="J1596" s="129" t="str">
        <f t="shared" si="49"/>
        <v>Natural w/Accent</v>
      </c>
    </row>
    <row r="1597" spans="7:10" x14ac:dyDescent="0.3">
      <c r="G1597" s="16" t="s">
        <v>17</v>
      </c>
      <c r="H1597" s="16" t="s">
        <v>1884</v>
      </c>
      <c r="I1597" s="12" t="s">
        <v>313</v>
      </c>
      <c r="J1597" s="129" t="str">
        <f t="shared" si="49"/>
        <v>Sable Black</v>
      </c>
    </row>
    <row r="1598" spans="7:10" x14ac:dyDescent="0.3">
      <c r="G1598" s="16" t="s">
        <v>19</v>
      </c>
      <c r="H1598" s="16" t="s">
        <v>1884</v>
      </c>
      <c r="I1598" s="12" t="s">
        <v>902</v>
      </c>
      <c r="J1598" s="129" t="str">
        <f t="shared" si="49"/>
        <v>Satin Sable w/Inlay</v>
      </c>
    </row>
    <row r="1599" spans="7:10" x14ac:dyDescent="0.3">
      <c r="G1599" s="16" t="s">
        <v>19</v>
      </c>
      <c r="H1599" s="16" t="s">
        <v>1884</v>
      </c>
      <c r="I1599" s="12" t="s">
        <v>904</v>
      </c>
      <c r="J1599" s="129" t="str">
        <f t="shared" si="49"/>
        <v>Satin Natural w/Inlay</v>
      </c>
    </row>
    <row r="1600" spans="7:10" x14ac:dyDescent="0.3">
      <c r="G1600" s="16" t="s">
        <v>19</v>
      </c>
      <c r="H1600" s="16" t="s">
        <v>1884</v>
      </c>
      <c r="I1600" s="12" t="s">
        <v>26</v>
      </c>
      <c r="J1600" s="129" t="str">
        <f t="shared" si="49"/>
        <v>Satin Sable</v>
      </c>
    </row>
    <row r="1601" spans="7:10" x14ac:dyDescent="0.3">
      <c r="G1601" s="16" t="s">
        <v>19</v>
      </c>
      <c r="H1601" s="16" t="s">
        <v>1884</v>
      </c>
      <c r="I1601" s="12" t="s">
        <v>914</v>
      </c>
      <c r="J1601" s="129" t="str">
        <f t="shared" si="49"/>
        <v>Satin Sable w/Accent</v>
      </c>
    </row>
    <row r="1602" spans="7:10" x14ac:dyDescent="0.3">
      <c r="G1602" s="16" t="s">
        <v>19</v>
      </c>
      <c r="H1602" s="16" t="s">
        <v>1884</v>
      </c>
      <c r="I1602" s="12" t="s">
        <v>321</v>
      </c>
      <c r="J1602" s="129" t="str">
        <f t="shared" si="49"/>
        <v>Satin Natural</v>
      </c>
    </row>
    <row r="1603" spans="7:10" x14ac:dyDescent="0.3">
      <c r="G1603" s="16" t="s">
        <v>19</v>
      </c>
      <c r="H1603" s="16" t="s">
        <v>1884</v>
      </c>
      <c r="I1603" s="12" t="s">
        <v>912</v>
      </c>
      <c r="J1603" s="129" t="str">
        <f t="shared" si="49"/>
        <v>Satin Natural w/Accent</v>
      </c>
    </row>
    <row r="1604" spans="7:10" x14ac:dyDescent="0.3">
      <c r="G1604" s="16" t="s">
        <v>19</v>
      </c>
      <c r="H1604" s="16" t="s">
        <v>1884</v>
      </c>
      <c r="I1604" s="12" t="s">
        <v>309</v>
      </c>
      <c r="J1604" s="129" t="str">
        <f t="shared" si="49"/>
        <v>Natural Hoop</v>
      </c>
    </row>
    <row r="1605" spans="7:10" x14ac:dyDescent="0.3">
      <c r="G1605" s="16" t="s">
        <v>19</v>
      </c>
      <c r="H1605" s="16" t="s">
        <v>1884</v>
      </c>
      <c r="I1605" s="12" t="s">
        <v>313</v>
      </c>
      <c r="J1605" s="129" t="str">
        <f t="shared" si="49"/>
        <v>Sable Black</v>
      </c>
    </row>
    <row r="1606" spans="7:10" x14ac:dyDescent="0.3">
      <c r="G1606" s="12" t="s">
        <v>15</v>
      </c>
      <c r="H1606" s="12" t="s">
        <v>931</v>
      </c>
      <c r="I1606" s="12" t="s">
        <v>321</v>
      </c>
      <c r="J1606" s="129" t="str">
        <f t="shared" si="49"/>
        <v>Satin Natural</v>
      </c>
    </row>
    <row r="1607" spans="7:10" x14ac:dyDescent="0.3">
      <c r="G1607" s="12" t="s">
        <v>15</v>
      </c>
      <c r="H1607" s="12" t="s">
        <v>931</v>
      </c>
      <c r="I1607" s="12" t="s">
        <v>912</v>
      </c>
      <c r="J1607" s="129" t="str">
        <f t="shared" si="49"/>
        <v>Satin Natural w/Accent</v>
      </c>
    </row>
    <row r="1608" spans="7:10" x14ac:dyDescent="0.3">
      <c r="G1608" s="12" t="s">
        <v>15</v>
      </c>
      <c r="H1608" s="12" t="s">
        <v>931</v>
      </c>
      <c r="I1608" s="12" t="s">
        <v>309</v>
      </c>
      <c r="J1608" s="129" t="str">
        <f t="shared" si="49"/>
        <v>Natural Hoop</v>
      </c>
    </row>
    <row r="1609" spans="7:10" x14ac:dyDescent="0.3">
      <c r="G1609" s="12" t="s">
        <v>15</v>
      </c>
      <c r="H1609" s="12" t="s">
        <v>931</v>
      </c>
      <c r="I1609" s="12" t="s">
        <v>907</v>
      </c>
      <c r="J1609" s="129" t="str">
        <f t="shared" si="49"/>
        <v>Natural w/Inlay</v>
      </c>
    </row>
    <row r="1610" spans="7:10" x14ac:dyDescent="0.3">
      <c r="G1610" s="12" t="s">
        <v>15</v>
      </c>
      <c r="H1610" s="12" t="s">
        <v>931</v>
      </c>
      <c r="I1610" s="12" t="s">
        <v>909</v>
      </c>
      <c r="J1610" s="129" t="str">
        <f t="shared" si="49"/>
        <v>Natural w/Accent</v>
      </c>
    </row>
    <row r="1611" spans="7:10" x14ac:dyDescent="0.3">
      <c r="G1611" s="12" t="s">
        <v>15</v>
      </c>
      <c r="H1611" s="12" t="s">
        <v>931</v>
      </c>
      <c r="I1611" s="12" t="s">
        <v>313</v>
      </c>
      <c r="J1611" s="129" t="str">
        <f t="shared" si="49"/>
        <v>Sable Black</v>
      </c>
    </row>
    <row r="1612" spans="7:10" x14ac:dyDescent="0.3">
      <c r="G1612" s="12" t="s">
        <v>16</v>
      </c>
      <c r="H1612" s="12" t="s">
        <v>931</v>
      </c>
      <c r="I1612" s="12" t="s">
        <v>902</v>
      </c>
      <c r="J1612" s="129" t="str">
        <f t="shared" si="49"/>
        <v>Satin Sable w/Inlay</v>
      </c>
    </row>
    <row r="1613" spans="7:10" x14ac:dyDescent="0.3">
      <c r="G1613" s="12" t="s">
        <v>16</v>
      </c>
      <c r="H1613" s="12" t="s">
        <v>931</v>
      </c>
      <c r="I1613" s="12" t="s">
        <v>904</v>
      </c>
      <c r="J1613" s="129" t="str">
        <f t="shared" si="49"/>
        <v>Satin Natural w/Inlay</v>
      </c>
    </row>
    <row r="1614" spans="7:10" x14ac:dyDescent="0.3">
      <c r="G1614" s="12" t="s">
        <v>16</v>
      </c>
      <c r="H1614" s="12" t="s">
        <v>931</v>
      </c>
      <c r="I1614" s="12" t="s">
        <v>26</v>
      </c>
      <c r="J1614" s="129" t="str">
        <f t="shared" si="49"/>
        <v>Satin Sable</v>
      </c>
    </row>
    <row r="1615" spans="7:10" x14ac:dyDescent="0.3">
      <c r="G1615" s="12" t="s">
        <v>16</v>
      </c>
      <c r="H1615" s="12" t="s">
        <v>931</v>
      </c>
      <c r="I1615" s="12" t="s">
        <v>914</v>
      </c>
      <c r="J1615" s="129" t="str">
        <f t="shared" si="49"/>
        <v>Satin Sable w/Accent</v>
      </c>
    </row>
    <row r="1616" spans="7:10" x14ac:dyDescent="0.3">
      <c r="G1616" s="12" t="s">
        <v>16</v>
      </c>
      <c r="H1616" s="12" t="s">
        <v>931</v>
      </c>
      <c r="I1616" s="12" t="s">
        <v>321</v>
      </c>
      <c r="J1616" s="129" t="str">
        <f t="shared" si="49"/>
        <v>Satin Natural</v>
      </c>
    </row>
    <row r="1617" spans="7:10" x14ac:dyDescent="0.3">
      <c r="G1617" s="12" t="s">
        <v>16</v>
      </c>
      <c r="H1617" s="12" t="s">
        <v>931</v>
      </c>
      <c r="I1617" s="12" t="s">
        <v>912</v>
      </c>
      <c r="J1617" s="129" t="str">
        <f t="shared" si="49"/>
        <v>Satin Natural w/Accent</v>
      </c>
    </row>
    <row r="1618" spans="7:10" x14ac:dyDescent="0.3">
      <c r="G1618" s="12" t="s">
        <v>16</v>
      </c>
      <c r="H1618" s="12" t="s">
        <v>931</v>
      </c>
      <c r="I1618" s="12" t="s">
        <v>309</v>
      </c>
      <c r="J1618" s="129" t="str">
        <f t="shared" si="49"/>
        <v>Natural Hoop</v>
      </c>
    </row>
    <row r="1619" spans="7:10" x14ac:dyDescent="0.3">
      <c r="G1619" s="12" t="s">
        <v>16</v>
      </c>
      <c r="H1619" s="12" t="s">
        <v>931</v>
      </c>
      <c r="I1619" s="12" t="s">
        <v>907</v>
      </c>
      <c r="J1619" s="129" t="str">
        <f t="shared" si="49"/>
        <v>Natural w/Inlay</v>
      </c>
    </row>
    <row r="1620" spans="7:10" x14ac:dyDescent="0.3">
      <c r="G1620" s="12" t="s">
        <v>16</v>
      </c>
      <c r="H1620" s="12" t="s">
        <v>931</v>
      </c>
      <c r="I1620" s="12" t="s">
        <v>909</v>
      </c>
      <c r="J1620" s="129" t="str">
        <f t="shared" ref="J1620:J1639" si="50">INDEX($C$3:$C$15,MATCH(I1620,$B$3:$B$15,0))</f>
        <v>Natural w/Accent</v>
      </c>
    </row>
    <row r="1621" spans="7:10" x14ac:dyDescent="0.3">
      <c r="G1621" s="12" t="s">
        <v>16</v>
      </c>
      <c r="H1621" s="12" t="s">
        <v>931</v>
      </c>
      <c r="I1621" s="12" t="s">
        <v>313</v>
      </c>
      <c r="J1621" s="129" t="str">
        <f t="shared" si="50"/>
        <v>Sable Black</v>
      </c>
    </row>
    <row r="1622" spans="7:10" x14ac:dyDescent="0.3">
      <c r="G1622" s="12" t="s">
        <v>17</v>
      </c>
      <c r="H1622" s="12" t="s">
        <v>931</v>
      </c>
      <c r="I1622" s="12" t="s">
        <v>902</v>
      </c>
      <c r="J1622" s="129" t="str">
        <f t="shared" si="50"/>
        <v>Satin Sable w/Inlay</v>
      </c>
    </row>
    <row r="1623" spans="7:10" x14ac:dyDescent="0.3">
      <c r="G1623" s="12" t="s">
        <v>17</v>
      </c>
      <c r="H1623" s="12" t="s">
        <v>931</v>
      </c>
      <c r="I1623" s="12" t="s">
        <v>904</v>
      </c>
      <c r="J1623" s="129" t="str">
        <f t="shared" si="50"/>
        <v>Satin Natural w/Inlay</v>
      </c>
    </row>
    <row r="1624" spans="7:10" x14ac:dyDescent="0.3">
      <c r="G1624" s="12" t="s">
        <v>17</v>
      </c>
      <c r="H1624" s="12" t="s">
        <v>931</v>
      </c>
      <c r="I1624" s="12" t="s">
        <v>26</v>
      </c>
      <c r="J1624" s="129" t="str">
        <f t="shared" si="50"/>
        <v>Satin Sable</v>
      </c>
    </row>
    <row r="1625" spans="7:10" x14ac:dyDescent="0.3">
      <c r="G1625" s="12" t="s">
        <v>17</v>
      </c>
      <c r="H1625" s="12" t="s">
        <v>931</v>
      </c>
      <c r="I1625" s="12" t="s">
        <v>914</v>
      </c>
      <c r="J1625" s="129" t="str">
        <f t="shared" si="50"/>
        <v>Satin Sable w/Accent</v>
      </c>
    </row>
    <row r="1626" spans="7:10" x14ac:dyDescent="0.3">
      <c r="G1626" s="12" t="s">
        <v>17</v>
      </c>
      <c r="H1626" s="12" t="s">
        <v>931</v>
      </c>
      <c r="I1626" s="12" t="s">
        <v>321</v>
      </c>
      <c r="J1626" s="129" t="str">
        <f t="shared" si="50"/>
        <v>Satin Natural</v>
      </c>
    </row>
    <row r="1627" spans="7:10" x14ac:dyDescent="0.3">
      <c r="G1627" s="12" t="s">
        <v>17</v>
      </c>
      <c r="H1627" s="12" t="s">
        <v>931</v>
      </c>
      <c r="I1627" s="12" t="s">
        <v>912</v>
      </c>
      <c r="J1627" s="129" t="str">
        <f t="shared" si="50"/>
        <v>Satin Natural w/Accent</v>
      </c>
    </row>
    <row r="1628" spans="7:10" x14ac:dyDescent="0.3">
      <c r="G1628" s="12" t="s">
        <v>17</v>
      </c>
      <c r="H1628" s="12" t="s">
        <v>931</v>
      </c>
      <c r="I1628" s="12" t="s">
        <v>309</v>
      </c>
      <c r="J1628" s="129" t="str">
        <f t="shared" si="50"/>
        <v>Natural Hoop</v>
      </c>
    </row>
    <row r="1629" spans="7:10" x14ac:dyDescent="0.3">
      <c r="G1629" s="12" t="s">
        <v>17</v>
      </c>
      <c r="H1629" s="12" t="s">
        <v>931</v>
      </c>
      <c r="I1629" s="12" t="s">
        <v>907</v>
      </c>
      <c r="J1629" s="129" t="str">
        <f t="shared" si="50"/>
        <v>Natural w/Inlay</v>
      </c>
    </row>
    <row r="1630" spans="7:10" x14ac:dyDescent="0.3">
      <c r="G1630" s="12" t="s">
        <v>17</v>
      </c>
      <c r="H1630" s="12" t="s">
        <v>931</v>
      </c>
      <c r="I1630" s="12" t="s">
        <v>909</v>
      </c>
      <c r="J1630" s="129" t="str">
        <f t="shared" si="50"/>
        <v>Natural w/Accent</v>
      </c>
    </row>
    <row r="1631" spans="7:10" x14ac:dyDescent="0.3">
      <c r="G1631" s="12" t="s">
        <v>17</v>
      </c>
      <c r="H1631" s="12" t="s">
        <v>931</v>
      </c>
      <c r="I1631" s="12" t="s">
        <v>313</v>
      </c>
      <c r="J1631" s="129" t="str">
        <f t="shared" si="50"/>
        <v>Sable Black</v>
      </c>
    </row>
    <row r="1632" spans="7:10" x14ac:dyDescent="0.3">
      <c r="G1632" s="12" t="s">
        <v>19</v>
      </c>
      <c r="H1632" s="12" t="s">
        <v>931</v>
      </c>
      <c r="I1632" s="12" t="s">
        <v>902</v>
      </c>
      <c r="J1632" s="129" t="str">
        <f t="shared" si="50"/>
        <v>Satin Sable w/Inlay</v>
      </c>
    </row>
    <row r="1633" spans="7:10" x14ac:dyDescent="0.3">
      <c r="G1633" s="12" t="s">
        <v>19</v>
      </c>
      <c r="H1633" s="12" t="s">
        <v>931</v>
      </c>
      <c r="I1633" s="12" t="s">
        <v>904</v>
      </c>
      <c r="J1633" s="129" t="str">
        <f t="shared" si="50"/>
        <v>Satin Natural w/Inlay</v>
      </c>
    </row>
    <row r="1634" spans="7:10" x14ac:dyDescent="0.3">
      <c r="G1634" s="12" t="s">
        <v>19</v>
      </c>
      <c r="H1634" s="12" t="s">
        <v>931</v>
      </c>
      <c r="I1634" s="12" t="s">
        <v>26</v>
      </c>
      <c r="J1634" s="129" t="str">
        <f t="shared" si="50"/>
        <v>Satin Sable</v>
      </c>
    </row>
    <row r="1635" spans="7:10" x14ac:dyDescent="0.3">
      <c r="G1635" s="12" t="s">
        <v>19</v>
      </c>
      <c r="H1635" s="12" t="s">
        <v>931</v>
      </c>
      <c r="I1635" s="12" t="s">
        <v>914</v>
      </c>
      <c r="J1635" s="129" t="str">
        <f t="shared" si="50"/>
        <v>Satin Sable w/Accent</v>
      </c>
    </row>
    <row r="1636" spans="7:10" x14ac:dyDescent="0.3">
      <c r="G1636" s="12" t="s">
        <v>19</v>
      </c>
      <c r="H1636" s="12" t="s">
        <v>931</v>
      </c>
      <c r="I1636" s="12" t="s">
        <v>321</v>
      </c>
      <c r="J1636" s="129" t="str">
        <f t="shared" si="50"/>
        <v>Satin Natural</v>
      </c>
    </row>
    <row r="1637" spans="7:10" x14ac:dyDescent="0.3">
      <c r="G1637" s="12" t="s">
        <v>19</v>
      </c>
      <c r="H1637" s="12" t="s">
        <v>931</v>
      </c>
      <c r="I1637" s="12" t="s">
        <v>912</v>
      </c>
      <c r="J1637" s="129" t="str">
        <f t="shared" si="50"/>
        <v>Satin Natural w/Accent</v>
      </c>
    </row>
    <row r="1638" spans="7:10" x14ac:dyDescent="0.3">
      <c r="G1638" s="12" t="s">
        <v>19</v>
      </c>
      <c r="H1638" s="12" t="s">
        <v>931</v>
      </c>
      <c r="I1638" s="12" t="s">
        <v>309</v>
      </c>
      <c r="J1638" s="129" t="str">
        <f t="shared" si="50"/>
        <v>Natural Hoop</v>
      </c>
    </row>
    <row r="1639" spans="7:10" x14ac:dyDescent="0.3">
      <c r="G1639" s="12" t="s">
        <v>19</v>
      </c>
      <c r="H1639" s="12" t="s">
        <v>931</v>
      </c>
      <c r="I1639" s="12" t="s">
        <v>313</v>
      </c>
      <c r="J1639" s="129" t="str">
        <f t="shared" si="50"/>
        <v>Sable Black</v>
      </c>
    </row>
  </sheetData>
  <autoFilter ref="G3:I1639" xr:uid="{3E6882BE-9887-442C-B773-02F6B9A5588C}"/>
  <mergeCells count="3">
    <mergeCell ref="AK2:AL2"/>
    <mergeCell ref="CN3:CO3"/>
    <mergeCell ref="EH2:EI2"/>
  </mergeCells>
  <conditionalFormatting sqref="O72:O149">
    <cfRule type="duplicateValues" dxfId="1" priority="3"/>
  </conditionalFormatting>
  <conditionalFormatting sqref="CI2">
    <cfRule type="expression" dxfId="0" priority="5">
      <formula>#REF!=0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FAB255-0943-4B48-87D1-A821646F191A}">
  <sheetPr codeName="Sheet3"/>
  <dimension ref="C1:DP357"/>
  <sheetViews>
    <sheetView workbookViewId="0"/>
  </sheetViews>
  <sheetFormatPr defaultRowHeight="14.4" x14ac:dyDescent="0.3"/>
  <cols>
    <col min="3" max="3" width="11.109375" customWidth="1"/>
    <col min="6" max="6" width="8.88671875" style="3"/>
    <col min="14" max="14" width="8.88671875" style="3"/>
    <col min="21" max="21" width="8.88671875" style="3"/>
    <col min="28" max="28" width="11.6640625" bestFit="1" customWidth="1"/>
    <col min="29" max="29" width="8.88671875" style="3"/>
    <col min="36" max="36" width="8.88671875" style="3"/>
    <col min="42" max="42" width="8.88671875" style="3"/>
    <col min="56" max="56" width="19.21875" bestFit="1" customWidth="1"/>
    <col min="57" max="57" width="32.5546875" customWidth="1"/>
    <col min="75" max="75" width="10.21875" customWidth="1"/>
    <col min="83" max="83" width="11" bestFit="1" customWidth="1"/>
    <col min="86" max="86" width="11.5546875" customWidth="1"/>
    <col min="87" max="87" width="22.88671875" bestFit="1" customWidth="1"/>
    <col min="114" max="114" width="22.33203125" bestFit="1" customWidth="1"/>
  </cols>
  <sheetData>
    <row r="1" spans="3:120" ht="24.6" x14ac:dyDescent="0.4">
      <c r="C1" s="111" t="s">
        <v>586</v>
      </c>
      <c r="D1" s="112"/>
      <c r="E1" s="113"/>
      <c r="F1" s="112"/>
      <c r="G1" s="112"/>
      <c r="H1" s="91"/>
      <c r="I1" s="91"/>
      <c r="J1" s="91"/>
      <c r="K1" s="111" t="s">
        <v>593</v>
      </c>
      <c r="L1" s="122"/>
      <c r="M1" s="122"/>
      <c r="N1" s="184"/>
      <c r="O1" s="122"/>
      <c r="S1" s="111" t="s">
        <v>587</v>
      </c>
      <c r="T1" s="117"/>
      <c r="U1" s="183"/>
      <c r="V1" s="117"/>
      <c r="W1" s="117"/>
      <c r="AA1" s="111" t="s">
        <v>588</v>
      </c>
      <c r="AB1" s="113"/>
      <c r="AC1" s="112"/>
      <c r="AD1" s="113"/>
      <c r="AH1" s="111" t="s">
        <v>590</v>
      </c>
      <c r="AI1" s="117"/>
      <c r="AJ1" s="183"/>
      <c r="AK1" s="117"/>
      <c r="AO1" s="111" t="s">
        <v>591</v>
      </c>
      <c r="AP1" s="112"/>
      <c r="AQ1" s="113"/>
      <c r="AU1" s="91"/>
      <c r="AV1" s="111" t="s">
        <v>592</v>
      </c>
      <c r="AW1" s="113"/>
      <c r="AX1" s="112"/>
      <c r="BB1" t="s">
        <v>1221</v>
      </c>
      <c r="BW1" s="81" t="s">
        <v>1233</v>
      </c>
      <c r="BX1" s="112"/>
      <c r="BY1" s="112"/>
      <c r="BZ1" s="112"/>
      <c r="CD1" s="81" t="s">
        <v>1240</v>
      </c>
      <c r="CE1" s="185"/>
      <c r="CF1" s="185"/>
      <c r="CG1" s="185"/>
      <c r="CH1" s="185"/>
      <c r="CI1" s="185"/>
      <c r="CN1" s="81" t="s">
        <v>1249</v>
      </c>
      <c r="CO1" s="117"/>
      <c r="CP1" s="117"/>
      <c r="CQ1" s="117"/>
      <c r="CR1" s="117"/>
      <c r="CW1" s="81" t="s">
        <v>1251</v>
      </c>
      <c r="CX1" s="117"/>
      <c r="CY1" s="117"/>
      <c r="CZ1" s="117"/>
      <c r="DA1" s="117"/>
      <c r="DE1" s="81" t="s">
        <v>1256</v>
      </c>
      <c r="DF1" s="117"/>
      <c r="DG1" s="117"/>
      <c r="DH1" s="117"/>
      <c r="DI1" s="117"/>
      <c r="DM1" s="81" t="s">
        <v>1257</v>
      </c>
      <c r="DN1" s="117"/>
      <c r="DO1" s="117"/>
      <c r="DP1" s="117"/>
    </row>
    <row r="2" spans="3:120" ht="21" x14ac:dyDescent="0.4">
      <c r="G2" s="230"/>
      <c r="H2" s="12"/>
      <c r="I2" s="12"/>
      <c r="J2" s="12"/>
      <c r="K2" s="16"/>
      <c r="L2" s="16"/>
      <c r="M2" s="16"/>
      <c r="N2" s="12"/>
      <c r="O2" s="16"/>
      <c r="S2" s="77"/>
      <c r="T2" s="77"/>
      <c r="U2" s="91"/>
      <c r="V2" s="77"/>
      <c r="W2" s="77"/>
      <c r="AA2" s="119"/>
      <c r="AB2" s="42"/>
      <c r="AC2" s="91"/>
      <c r="AD2" s="42"/>
      <c r="AH2" s="11"/>
      <c r="AX2" s="12"/>
      <c r="BV2" s="81"/>
      <c r="BW2" s="91"/>
      <c r="BX2" s="91"/>
      <c r="BY2" s="91"/>
      <c r="BZ2" s="91"/>
      <c r="CC2" s="81"/>
      <c r="CD2" s="89"/>
      <c r="CE2" s="89"/>
      <c r="CF2" s="89"/>
      <c r="CG2" s="89"/>
      <c r="CH2" s="89"/>
      <c r="CI2" s="89"/>
      <c r="CM2" s="12"/>
      <c r="CN2" s="91" t="s">
        <v>1084</v>
      </c>
      <c r="CO2" s="91" t="s">
        <v>201</v>
      </c>
      <c r="CP2" s="91" t="s">
        <v>202</v>
      </c>
      <c r="CQ2" s="77" t="str">
        <f>CONCATENATE(CM2,"|",CN2)</f>
        <v>|v_bdScrews</v>
      </c>
      <c r="CV2" s="12"/>
      <c r="CW2" s="12" t="s">
        <v>1252</v>
      </c>
      <c r="CX2" s="91" t="s">
        <v>201</v>
      </c>
      <c r="CY2" s="91" t="s">
        <v>202</v>
      </c>
      <c r="CZ2" s="77" t="str">
        <f>CONCATENATE(CV2,"|",CW2)</f>
        <v>|v_smPos</v>
      </c>
      <c r="DE2" s="91"/>
      <c r="DM2" s="91"/>
      <c r="DN2" s="12" t="s">
        <v>1149</v>
      </c>
      <c r="DO2" s="91" t="s">
        <v>1258</v>
      </c>
      <c r="DP2" s="91" t="s">
        <v>202</v>
      </c>
    </row>
    <row r="3" spans="3:120" x14ac:dyDescent="0.3">
      <c r="C3" s="115"/>
      <c r="D3" s="12" t="s">
        <v>50</v>
      </c>
      <c r="E3" s="12" t="s">
        <v>44</v>
      </c>
      <c r="F3" s="12" t="s">
        <v>201</v>
      </c>
      <c r="G3" s="114" t="s">
        <v>202</v>
      </c>
      <c r="H3" s="114"/>
      <c r="I3" s="114"/>
      <c r="J3" s="114"/>
      <c r="K3" s="12" t="s">
        <v>50</v>
      </c>
      <c r="L3" s="9" t="s">
        <v>242</v>
      </c>
      <c r="M3" s="12" t="s">
        <v>200</v>
      </c>
      <c r="N3" s="12" t="s">
        <v>201</v>
      </c>
      <c r="O3" s="9" t="s">
        <v>202</v>
      </c>
      <c r="S3" s="77"/>
      <c r="T3" s="77"/>
      <c r="U3" s="91"/>
      <c r="V3" s="77"/>
      <c r="W3" s="77"/>
      <c r="AA3" s="118"/>
      <c r="AB3" s="12" t="s">
        <v>589</v>
      </c>
      <c r="AC3" s="12" t="s">
        <v>201</v>
      </c>
      <c r="AD3" s="12" t="s">
        <v>202</v>
      </c>
      <c r="AH3" s="12" t="s">
        <v>242</v>
      </c>
      <c r="AI3" s="105" t="s">
        <v>554</v>
      </c>
      <c r="AJ3" s="14" t="s">
        <v>201</v>
      </c>
      <c r="AK3" s="12" t="s">
        <v>202</v>
      </c>
      <c r="AN3" s="121"/>
      <c r="AO3" s="14" t="s">
        <v>412</v>
      </c>
      <c r="AP3" s="14" t="s">
        <v>201</v>
      </c>
      <c r="AQ3" s="12" t="s">
        <v>202</v>
      </c>
      <c r="AT3" s="17"/>
      <c r="AU3" s="12"/>
      <c r="AV3" s="12" t="s">
        <v>569</v>
      </c>
      <c r="AW3" s="12" t="s">
        <v>201</v>
      </c>
      <c r="AX3" s="114" t="s">
        <v>202</v>
      </c>
      <c r="BV3" s="91"/>
      <c r="BW3" s="91" t="s">
        <v>560</v>
      </c>
      <c r="BX3" s="91" t="s">
        <v>1234</v>
      </c>
      <c r="BY3" s="91" t="s">
        <v>201</v>
      </c>
      <c r="BZ3" s="12" t="s">
        <v>202</v>
      </c>
      <c r="CC3" s="91"/>
      <c r="CD3" s="91" t="s">
        <v>552</v>
      </c>
      <c r="CE3" s="91" t="s">
        <v>1241</v>
      </c>
      <c r="CF3" s="91" t="s">
        <v>201</v>
      </c>
      <c r="CG3" s="12" t="s">
        <v>202</v>
      </c>
      <c r="CH3" s="77" t="str">
        <f>CONCATENATE(CC3,"|",CD3,"|",CE3)</f>
        <v>|v_lugs|v_spurs</v>
      </c>
      <c r="CI3" s="18" t="s">
        <v>211</v>
      </c>
      <c r="CM3" s="12"/>
      <c r="CN3" s="12" t="s">
        <v>1085</v>
      </c>
      <c r="CO3" s="77">
        <v>1220115</v>
      </c>
      <c r="CP3" s="75">
        <v>0</v>
      </c>
      <c r="CQ3" s="95" t="str">
        <f t="shared" ref="CQ3:CQ4" si="0">CONCATENATE("{[",CM3,"][",CN3,"]-[",CO3,"]:[",CP3,"]}")</f>
        <v>{[][K]-[1220115]:[0]}</v>
      </c>
      <c r="CR3" s="63" t="s">
        <v>115</v>
      </c>
      <c r="CV3" s="12"/>
      <c r="CW3" s="12" t="s">
        <v>1093</v>
      </c>
      <c r="CX3" s="77">
        <v>1220115</v>
      </c>
      <c r="CY3" s="75">
        <v>0</v>
      </c>
      <c r="CZ3" s="95" t="str">
        <f t="shared" ref="CZ3:CZ6" si="1">CONCATENATE("{[",CV3,"][",CW3,"]-[",CX3,"]:[",CY3,"]}")</f>
        <v>{[][L]-[1220115]:[0]}</v>
      </c>
      <c r="DA3" s="42" t="s">
        <v>1253</v>
      </c>
      <c r="DE3" s="91"/>
      <c r="DF3" s="12" t="s">
        <v>1120</v>
      </c>
      <c r="DG3" s="91" t="s">
        <v>201</v>
      </c>
      <c r="DH3" s="91" t="s">
        <v>202</v>
      </c>
      <c r="DI3" s="77" t="str">
        <f>CONCATENATE(DE3,"|",DF3)</f>
        <v>|v_toneCntrl</v>
      </c>
      <c r="DM3" s="12"/>
      <c r="DN3" s="14" t="s">
        <v>878</v>
      </c>
      <c r="DO3" s="77">
        <v>1210901</v>
      </c>
      <c r="DP3" s="75">
        <v>0</v>
      </c>
    </row>
    <row r="4" spans="3:120" x14ac:dyDescent="0.3">
      <c r="C4" s="116"/>
      <c r="D4" s="12" t="s">
        <v>15</v>
      </c>
      <c r="E4" s="12" t="s">
        <v>45</v>
      </c>
      <c r="F4" s="16">
        <v>1251001</v>
      </c>
      <c r="G4" s="75">
        <v>0</v>
      </c>
      <c r="H4" s="75"/>
      <c r="I4" s="75"/>
      <c r="J4" s="75"/>
      <c r="K4" s="12" t="s">
        <v>15</v>
      </c>
      <c r="L4" s="9" t="s">
        <v>66</v>
      </c>
      <c r="M4" s="9" t="s">
        <v>43</v>
      </c>
      <c r="N4" s="16">
        <v>1251001</v>
      </c>
      <c r="O4" s="75">
        <v>0</v>
      </c>
      <c r="S4" s="118"/>
      <c r="T4" s="14" t="s">
        <v>552</v>
      </c>
      <c r="U4" s="12" t="s">
        <v>201</v>
      </c>
      <c r="V4" s="12" t="s">
        <v>202</v>
      </c>
      <c r="W4" s="77"/>
      <c r="AA4" s="120"/>
      <c r="AB4" s="9" t="s">
        <v>536</v>
      </c>
      <c r="AC4" s="12">
        <v>1220115</v>
      </c>
      <c r="AD4" s="75">
        <v>0</v>
      </c>
      <c r="AH4" s="9" t="s">
        <v>73</v>
      </c>
      <c r="AI4" s="12" t="s">
        <v>555</v>
      </c>
      <c r="AJ4" s="12">
        <v>1250401</v>
      </c>
      <c r="AK4" s="75">
        <v>0</v>
      </c>
      <c r="AN4" s="116"/>
      <c r="AO4" s="12" t="s">
        <v>413</v>
      </c>
      <c r="AP4" s="12">
        <v>1220115</v>
      </c>
      <c r="AQ4" s="75">
        <v>0</v>
      </c>
      <c r="AT4" s="12"/>
      <c r="AU4" s="12"/>
      <c r="AV4" s="14" t="s">
        <v>570</v>
      </c>
      <c r="AW4" s="12">
        <v>1220115</v>
      </c>
      <c r="AX4" s="75">
        <v>0</v>
      </c>
      <c r="BV4" s="12"/>
      <c r="BW4" s="12" t="s">
        <v>561</v>
      </c>
      <c r="BX4" s="12" t="s">
        <v>313</v>
      </c>
      <c r="BY4" s="91">
        <v>1220115</v>
      </c>
      <c r="BZ4" s="75">
        <v>0</v>
      </c>
      <c r="CA4" s="95"/>
      <c r="CC4" s="12"/>
      <c r="CD4" s="12" t="s">
        <v>22</v>
      </c>
      <c r="CE4" s="12" t="s">
        <v>946</v>
      </c>
      <c r="CF4" s="12">
        <v>1220115</v>
      </c>
      <c r="CG4" s="75">
        <v>0</v>
      </c>
      <c r="CH4" s="95" t="str">
        <f>CONCATENATE("{[",CD4,"][",CE4,"]-[",CF4,"]:[",CG4,"]}")</f>
        <v>{[ML][LR2974SP]-[1220115]:[0]}</v>
      </c>
      <c r="CI4" s="18" t="s">
        <v>947</v>
      </c>
      <c r="CM4" s="12"/>
      <c r="CN4" s="12" t="s">
        <v>70</v>
      </c>
      <c r="CO4" s="77">
        <v>1220115</v>
      </c>
      <c r="CP4" s="75">
        <v>0</v>
      </c>
      <c r="CQ4" s="95" t="str">
        <f t="shared" si="0"/>
        <v>{[][T]-[1220115]:[0]}</v>
      </c>
      <c r="CR4" s="63" t="s">
        <v>1086</v>
      </c>
      <c r="CV4" s="12"/>
      <c r="CW4" s="12" t="s">
        <v>1094</v>
      </c>
      <c r="CX4" s="77">
        <v>1220115</v>
      </c>
      <c r="CY4" s="75">
        <v>0</v>
      </c>
      <c r="CZ4" s="95" t="str">
        <f t="shared" si="1"/>
        <v>{[][R]-[1220115]:[0]}</v>
      </c>
      <c r="DA4" s="42" t="s">
        <v>1250</v>
      </c>
      <c r="DE4" s="12"/>
      <c r="DF4" s="12" t="s">
        <v>1096</v>
      </c>
      <c r="DG4" s="16">
        <v>1220115</v>
      </c>
      <c r="DH4" s="75">
        <v>0</v>
      </c>
      <c r="DI4" s="95" t="str">
        <f t="shared" ref="DI4:DI6" si="2">CONCATENATE("{[",DE4,"][",DF4,"]-[",DG4,"]:[",DH4,"]}")</f>
        <v>{[][N]-[1220115]:[0]}</v>
      </c>
      <c r="DJ4" s="42" t="s">
        <v>117</v>
      </c>
      <c r="DM4" s="12"/>
      <c r="DN4" s="14" t="s">
        <v>880</v>
      </c>
      <c r="DO4" s="77">
        <v>1210901</v>
      </c>
      <c r="DP4" s="75">
        <v>0</v>
      </c>
    </row>
    <row r="5" spans="3:120" x14ac:dyDescent="0.3">
      <c r="C5" s="116"/>
      <c r="D5" s="12" t="s">
        <v>15</v>
      </c>
      <c r="E5" s="12" t="s">
        <v>54</v>
      </c>
      <c r="F5" s="16">
        <v>1251001</v>
      </c>
      <c r="G5" s="75">
        <v>0</v>
      </c>
      <c r="H5" s="75"/>
      <c r="I5" s="75"/>
      <c r="J5" s="75"/>
      <c r="K5" s="12" t="s">
        <v>15</v>
      </c>
      <c r="L5" s="9" t="s">
        <v>73</v>
      </c>
      <c r="M5" s="9" t="s">
        <v>43</v>
      </c>
      <c r="N5" s="16">
        <v>1251001</v>
      </c>
      <c r="O5" s="75">
        <v>0</v>
      </c>
      <c r="S5" s="116"/>
      <c r="T5" s="12" t="s">
        <v>25</v>
      </c>
      <c r="U5" s="12">
        <v>1220115</v>
      </c>
      <c r="V5" s="75">
        <v>0</v>
      </c>
      <c r="W5" s="95"/>
      <c r="AA5" s="120"/>
      <c r="AB5" s="9" t="s">
        <v>537</v>
      </c>
      <c r="AC5" s="12">
        <v>1220115</v>
      </c>
      <c r="AD5" s="75">
        <v>0</v>
      </c>
      <c r="AH5" s="9" t="s">
        <v>73</v>
      </c>
      <c r="AI5" s="12" t="s">
        <v>556</v>
      </c>
      <c r="AJ5" s="12">
        <v>1250401</v>
      </c>
      <c r="AK5" s="75">
        <v>0</v>
      </c>
      <c r="AN5" s="116"/>
      <c r="AO5" s="12" t="s">
        <v>425</v>
      </c>
      <c r="AP5" s="12">
        <v>1220115</v>
      </c>
      <c r="AQ5" s="75">
        <v>0</v>
      </c>
      <c r="AT5" s="12"/>
      <c r="AU5" s="12"/>
      <c r="AV5" s="16" t="s">
        <v>572</v>
      </c>
      <c r="AW5" s="12">
        <v>1220115</v>
      </c>
      <c r="AX5" s="75">
        <v>0</v>
      </c>
      <c r="BB5" t="s">
        <v>1231</v>
      </c>
      <c r="BC5" t="s">
        <v>1170</v>
      </c>
      <c r="BD5" t="s">
        <v>1230</v>
      </c>
      <c r="BE5" t="s">
        <v>211</v>
      </c>
      <c r="BF5" s="9" t="s">
        <v>1261</v>
      </c>
      <c r="BG5" s="9" t="s">
        <v>1222</v>
      </c>
      <c r="BH5" s="9" t="s">
        <v>857</v>
      </c>
      <c r="BI5" s="9" t="s">
        <v>59</v>
      </c>
      <c r="BJ5" s="9" t="s">
        <v>1223</v>
      </c>
      <c r="BK5" s="9" t="s">
        <v>1167</v>
      </c>
      <c r="BL5" s="9" t="s">
        <v>1224</v>
      </c>
      <c r="BM5" s="9" t="s">
        <v>933</v>
      </c>
      <c r="BN5" s="9" t="s">
        <v>1225</v>
      </c>
      <c r="BO5" s="9" t="s">
        <v>1226</v>
      </c>
      <c r="BP5" s="9" t="s">
        <v>1227</v>
      </c>
      <c r="BQ5" s="9" t="s">
        <v>1228</v>
      </c>
      <c r="BV5" s="12"/>
      <c r="BW5" s="12" t="s">
        <v>562</v>
      </c>
      <c r="BX5" s="12" t="s">
        <v>313</v>
      </c>
      <c r="BY5" s="91">
        <v>1220115</v>
      </c>
      <c r="BZ5" s="75">
        <v>0</v>
      </c>
      <c r="CA5" s="95"/>
      <c r="CC5" s="12"/>
      <c r="CD5" s="12" t="s">
        <v>518</v>
      </c>
      <c r="CE5" s="12" t="s">
        <v>946</v>
      </c>
      <c r="CF5" s="12">
        <v>1220115</v>
      </c>
      <c r="CG5" s="75">
        <v>0</v>
      </c>
      <c r="CH5" s="95" t="str">
        <f>CONCATENATE("{[",CD5,"][",CE5,"]-[",CF5,"]:[",CG5,"]}")</f>
        <v>{[CL][LR2974SP]-[1220115]:[0]}</v>
      </c>
      <c r="CI5" s="18" t="s">
        <v>947</v>
      </c>
      <c r="CM5" s="63"/>
      <c r="CN5" s="12"/>
      <c r="CO5" s="77"/>
      <c r="CP5" s="14"/>
      <c r="CQ5" s="95"/>
      <c r="CR5" s="63"/>
      <c r="CV5" s="12"/>
      <c r="CW5" s="12" t="s">
        <v>1095</v>
      </c>
      <c r="CX5" s="77">
        <v>1220115</v>
      </c>
      <c r="CY5" s="75">
        <v>0</v>
      </c>
      <c r="CZ5" s="95" t="str">
        <f t="shared" si="1"/>
        <v>{[][LnR]-[1220115]:[0]}</v>
      </c>
      <c r="DA5" s="42" t="s">
        <v>1254</v>
      </c>
      <c r="DE5" s="12"/>
      <c r="DF5" s="12" t="s">
        <v>1085</v>
      </c>
      <c r="DG5" s="16">
        <v>1220115</v>
      </c>
      <c r="DH5" s="75">
        <v>0</v>
      </c>
      <c r="DI5" s="95" t="str">
        <f t="shared" si="2"/>
        <v>{[][K]-[1220115]:[0]}</v>
      </c>
      <c r="DJ5" s="42" t="s">
        <v>1122</v>
      </c>
      <c r="DM5" s="63"/>
      <c r="DN5" s="14"/>
      <c r="DO5" s="77"/>
      <c r="DP5" s="16"/>
    </row>
    <row r="6" spans="3:120" x14ac:dyDescent="0.3">
      <c r="C6" s="116"/>
      <c r="D6" s="12" t="s">
        <v>15</v>
      </c>
      <c r="E6" s="12" t="s">
        <v>67</v>
      </c>
      <c r="F6" s="16">
        <v>1251001</v>
      </c>
      <c r="G6" s="75">
        <v>0</v>
      </c>
      <c r="H6" s="75"/>
      <c r="I6" s="75"/>
      <c r="J6" s="75"/>
      <c r="K6" s="12" t="s">
        <v>15</v>
      </c>
      <c r="L6" s="9" t="s">
        <v>24</v>
      </c>
      <c r="M6" s="9" t="s">
        <v>43</v>
      </c>
      <c r="N6" s="16">
        <v>1251001</v>
      </c>
      <c r="O6" s="75">
        <v>0</v>
      </c>
      <c r="S6" s="116"/>
      <c r="T6" s="12" t="s">
        <v>518</v>
      </c>
      <c r="U6" s="12">
        <v>1220115</v>
      </c>
      <c r="V6" s="75">
        <v>0</v>
      </c>
      <c r="W6" s="95"/>
      <c r="AA6" s="120"/>
      <c r="AB6" s="9" t="s">
        <v>539</v>
      </c>
      <c r="AC6" s="12">
        <v>1220115</v>
      </c>
      <c r="AD6" s="75">
        <v>0</v>
      </c>
      <c r="AH6" s="9" t="s">
        <v>73</v>
      </c>
      <c r="AI6" s="12" t="s">
        <v>425</v>
      </c>
      <c r="AJ6" s="12">
        <v>1250401</v>
      </c>
      <c r="AK6" s="75">
        <v>0</v>
      </c>
      <c r="AN6" s="116"/>
      <c r="AO6" s="12" t="s">
        <v>419</v>
      </c>
      <c r="AP6" s="12">
        <v>1220115</v>
      </c>
      <c r="AQ6" s="75">
        <v>0</v>
      </c>
      <c r="AT6" s="12"/>
      <c r="AU6" s="12"/>
      <c r="AV6" s="14" t="s">
        <v>574</v>
      </c>
      <c r="AW6" s="12">
        <v>1220115</v>
      </c>
      <c r="AX6" s="75">
        <v>0</v>
      </c>
      <c r="BB6" s="135" t="s">
        <v>1168</v>
      </c>
      <c r="BV6" s="12"/>
      <c r="BW6" s="12" t="s">
        <v>561</v>
      </c>
      <c r="BX6" s="12" t="s">
        <v>309</v>
      </c>
      <c r="BY6" s="91">
        <v>1220115</v>
      </c>
      <c r="BZ6" s="75">
        <v>0</v>
      </c>
      <c r="CA6" s="95"/>
      <c r="CC6" s="12"/>
      <c r="CD6" s="12" t="s">
        <v>16</v>
      </c>
      <c r="CE6" s="12" t="s">
        <v>946</v>
      </c>
      <c r="CF6" s="12">
        <v>1220115</v>
      </c>
      <c r="CG6" s="75">
        <v>0</v>
      </c>
      <c r="CH6" s="95" t="str">
        <f>CONCATENATE("{[",CD6,"][",CE6,"]-[",CF6,"]:[",CG6,"]}")</f>
        <v>{[LL][LR2974SP]-[1220115]:[0]}</v>
      </c>
      <c r="CI6" s="18" t="s">
        <v>947</v>
      </c>
      <c r="CM6" s="63"/>
      <c r="CN6" s="12"/>
      <c r="CO6" s="77"/>
      <c r="CP6" s="14"/>
      <c r="CQ6" s="95"/>
      <c r="CR6" s="63"/>
      <c r="CV6" s="12"/>
      <c r="CW6" s="12" t="s">
        <v>1096</v>
      </c>
      <c r="CX6" s="77">
        <v>1220115</v>
      </c>
      <c r="CY6" s="75">
        <v>0</v>
      </c>
      <c r="CZ6" s="95" t="str">
        <f t="shared" si="1"/>
        <v>{[][N]-[1220115]:[0]}</v>
      </c>
      <c r="DA6" s="42" t="s">
        <v>1097</v>
      </c>
      <c r="DE6" s="12"/>
      <c r="DF6" s="12" t="s">
        <v>55</v>
      </c>
      <c r="DG6" s="16">
        <v>1220115</v>
      </c>
      <c r="DH6" s="75">
        <v>0</v>
      </c>
      <c r="DI6" s="95" t="str">
        <f t="shared" si="2"/>
        <v>{[][B]-[1220115]:[0]}</v>
      </c>
      <c r="DJ6" s="42" t="s">
        <v>1123</v>
      </c>
      <c r="DM6" s="63"/>
      <c r="DN6" s="14"/>
      <c r="DO6" s="77"/>
      <c r="DP6" s="16"/>
    </row>
    <row r="7" spans="3:120" x14ac:dyDescent="0.3">
      <c r="C7" s="116"/>
      <c r="D7" s="12" t="s">
        <v>15</v>
      </c>
      <c r="E7" s="12" t="s">
        <v>83</v>
      </c>
      <c r="F7" s="16">
        <v>1251001</v>
      </c>
      <c r="G7" s="75">
        <v>0</v>
      </c>
      <c r="H7" s="75"/>
      <c r="I7" s="75"/>
      <c r="J7" s="75"/>
      <c r="K7" s="12" t="s">
        <v>15</v>
      </c>
      <c r="L7" s="9" t="s">
        <v>52</v>
      </c>
      <c r="M7" s="9" t="s">
        <v>43</v>
      </c>
      <c r="N7" s="16">
        <v>1251001</v>
      </c>
      <c r="O7" s="75">
        <v>0</v>
      </c>
      <c r="S7" s="116"/>
      <c r="T7" s="12" t="s">
        <v>16</v>
      </c>
      <c r="U7" s="12">
        <v>1220115</v>
      </c>
      <c r="V7" s="75">
        <v>0</v>
      </c>
      <c r="W7" s="95"/>
      <c r="AA7" s="120"/>
      <c r="AB7" s="9" t="s">
        <v>541</v>
      </c>
      <c r="AC7" s="12">
        <v>1220115</v>
      </c>
      <c r="AD7" s="75">
        <v>0</v>
      </c>
      <c r="AH7" s="9" t="s">
        <v>73</v>
      </c>
      <c r="AI7" s="12" t="s">
        <v>558</v>
      </c>
      <c r="AJ7" s="12">
        <v>1250401</v>
      </c>
      <c r="AK7" s="75">
        <v>0</v>
      </c>
      <c r="AN7" s="116"/>
      <c r="AO7" s="12" t="s">
        <v>417</v>
      </c>
      <c r="AP7" s="12">
        <v>1220115</v>
      </c>
      <c r="AQ7" s="75">
        <v>0</v>
      </c>
      <c r="AT7" s="12"/>
      <c r="AU7" s="12"/>
      <c r="AV7" s="14" t="s">
        <v>576</v>
      </c>
      <c r="AW7" s="12">
        <v>1220115</v>
      </c>
      <c r="AX7" s="75">
        <v>0</v>
      </c>
      <c r="BD7" s="7" t="s">
        <v>1362</v>
      </c>
      <c r="BV7" s="12"/>
      <c r="BW7" s="12" t="s">
        <v>561</v>
      </c>
      <c r="BX7" s="12" t="s">
        <v>909</v>
      </c>
      <c r="BY7" s="91">
        <v>1220115</v>
      </c>
      <c r="BZ7" s="75">
        <v>0</v>
      </c>
      <c r="CA7" s="95"/>
      <c r="CC7" s="12"/>
      <c r="CD7" s="12" t="s">
        <v>24</v>
      </c>
      <c r="CE7" s="12" t="s">
        <v>946</v>
      </c>
      <c r="CF7" s="12">
        <v>1220115</v>
      </c>
      <c r="CG7" s="75">
        <v>0</v>
      </c>
      <c r="CH7" s="95" t="str">
        <f t="shared" ref="CH7:CH28" si="3">CONCATENATE("{[",CD7,"][",CE7,"]-[",CF7,"]:[",CG7,"]}")</f>
        <v>{[LT][LR2974SP]-[1220115]:[0]}</v>
      </c>
      <c r="CI7" s="18" t="s">
        <v>947</v>
      </c>
      <c r="CM7" s="17"/>
      <c r="CV7" s="63"/>
      <c r="CW7" s="12"/>
      <c r="CX7" s="77"/>
      <c r="CY7" s="186"/>
      <c r="CZ7" s="95"/>
      <c r="DA7" s="42"/>
      <c r="DE7" s="63"/>
      <c r="DF7" s="12"/>
      <c r="DG7" s="16"/>
      <c r="DH7" s="16"/>
      <c r="DI7" s="95"/>
      <c r="DJ7" s="42"/>
    </row>
    <row r="8" spans="3:120" x14ac:dyDescent="0.3">
      <c r="C8" s="116"/>
      <c r="D8" s="12" t="s">
        <v>15</v>
      </c>
      <c r="E8" s="12" t="s">
        <v>95</v>
      </c>
      <c r="F8" s="16">
        <v>1251001</v>
      </c>
      <c r="G8" s="75">
        <v>0</v>
      </c>
      <c r="H8" s="75"/>
      <c r="I8" s="75"/>
      <c r="J8" s="75"/>
      <c r="K8" s="12" t="s">
        <v>15</v>
      </c>
      <c r="L8" s="9" t="s">
        <v>66</v>
      </c>
      <c r="M8" s="9" t="s">
        <v>76</v>
      </c>
      <c r="N8" s="16">
        <v>1251001</v>
      </c>
      <c r="O8" s="75">
        <v>0</v>
      </c>
      <c r="S8" s="116"/>
      <c r="T8" s="12" t="s">
        <v>24</v>
      </c>
      <c r="U8" s="12">
        <v>1220115</v>
      </c>
      <c r="V8" s="75">
        <v>0</v>
      </c>
      <c r="W8" s="95"/>
      <c r="AA8" s="120"/>
      <c r="AB8" s="12" t="s">
        <v>543</v>
      </c>
      <c r="AC8" s="12">
        <v>1220115</v>
      </c>
      <c r="AD8" s="75">
        <v>0</v>
      </c>
      <c r="AH8" s="9" t="s">
        <v>66</v>
      </c>
      <c r="AI8" s="12" t="s">
        <v>555</v>
      </c>
      <c r="AJ8" s="12">
        <v>1250401</v>
      </c>
      <c r="AK8" s="75">
        <v>0</v>
      </c>
      <c r="AN8" s="116"/>
      <c r="AO8" s="12" t="s">
        <v>424</v>
      </c>
      <c r="AP8" s="12">
        <v>1220115</v>
      </c>
      <c r="AQ8" s="75">
        <v>0</v>
      </c>
      <c r="AX8" s="7"/>
      <c r="BB8" t="s">
        <v>1169</v>
      </c>
      <c r="BC8" t="s">
        <v>1170</v>
      </c>
      <c r="BD8" t="s">
        <v>1171</v>
      </c>
      <c r="BE8" t="s">
        <v>211</v>
      </c>
      <c r="BF8" s="182" t="s">
        <v>1172</v>
      </c>
      <c r="BG8" s="182" t="s">
        <v>1173</v>
      </c>
      <c r="BH8" t="s">
        <v>1174</v>
      </c>
      <c r="BI8" t="s">
        <v>1175</v>
      </c>
      <c r="BJ8" t="s">
        <v>1176</v>
      </c>
      <c r="BK8" t="s">
        <v>1177</v>
      </c>
      <c r="BL8" t="s">
        <v>1178</v>
      </c>
      <c r="BM8" t="s">
        <v>1179</v>
      </c>
      <c r="BN8" t="s">
        <v>1179</v>
      </c>
      <c r="BO8" t="s">
        <v>1179</v>
      </c>
      <c r="BV8" s="12"/>
      <c r="BW8" s="12" t="s">
        <v>561</v>
      </c>
      <c r="BX8" s="12" t="s">
        <v>907</v>
      </c>
      <c r="BY8" s="91">
        <v>1220115</v>
      </c>
      <c r="BZ8" s="75">
        <v>0</v>
      </c>
      <c r="CA8" s="95"/>
      <c r="CC8" s="12"/>
      <c r="CD8" s="12" t="s">
        <v>23</v>
      </c>
      <c r="CE8" s="12" t="s">
        <v>946</v>
      </c>
      <c r="CF8" s="12">
        <v>1220115</v>
      </c>
      <c r="CG8" s="75">
        <v>0</v>
      </c>
      <c r="CH8" s="95" t="str">
        <f t="shared" si="3"/>
        <v>{[LI][LR2974SP]-[1220115]:[0]}</v>
      </c>
      <c r="CI8" s="18" t="s">
        <v>947</v>
      </c>
      <c r="CV8" s="63"/>
      <c r="CW8" s="12"/>
      <c r="CX8" s="77"/>
      <c r="CY8" s="186"/>
      <c r="CZ8" s="95"/>
      <c r="DA8" s="42"/>
      <c r="DE8" s="63"/>
      <c r="DF8" s="12"/>
      <c r="DG8" s="16"/>
      <c r="DH8" s="16"/>
      <c r="DI8" s="95"/>
      <c r="DJ8" s="42"/>
    </row>
    <row r="9" spans="3:120" x14ac:dyDescent="0.3">
      <c r="C9" s="116"/>
      <c r="D9" s="12" t="s">
        <v>15</v>
      </c>
      <c r="E9" s="12" t="s">
        <v>49</v>
      </c>
      <c r="F9" s="16">
        <v>1251001</v>
      </c>
      <c r="G9" s="75">
        <v>0</v>
      </c>
      <c r="H9" s="75"/>
      <c r="I9" s="75"/>
      <c r="J9" s="75"/>
      <c r="K9" s="12" t="s">
        <v>15</v>
      </c>
      <c r="L9" s="9" t="s">
        <v>73</v>
      </c>
      <c r="M9" s="9" t="s">
        <v>76</v>
      </c>
      <c r="N9" s="16">
        <v>1251001</v>
      </c>
      <c r="O9" s="75">
        <v>0</v>
      </c>
      <c r="S9" s="116"/>
      <c r="T9" s="12" t="s">
        <v>22</v>
      </c>
      <c r="U9" s="12">
        <v>1220115</v>
      </c>
      <c r="V9" s="75">
        <v>0</v>
      </c>
      <c r="W9" s="95"/>
      <c r="AA9" s="120"/>
      <c r="AB9" s="12" t="s">
        <v>545</v>
      </c>
      <c r="AC9" s="12">
        <v>1220115</v>
      </c>
      <c r="AD9" s="75">
        <v>0</v>
      </c>
      <c r="AH9" s="9" t="s">
        <v>66</v>
      </c>
      <c r="AI9" s="12" t="s">
        <v>556</v>
      </c>
      <c r="AJ9" s="12">
        <v>1250401</v>
      </c>
      <c r="AK9" s="75">
        <v>0</v>
      </c>
      <c r="AN9" s="116"/>
      <c r="AO9" s="12" t="s">
        <v>418</v>
      </c>
      <c r="AP9" s="12">
        <v>1220115</v>
      </c>
      <c r="AQ9" s="75">
        <v>0</v>
      </c>
      <c r="AX9" s="7"/>
      <c r="BF9" s="182"/>
      <c r="BM9" t="s">
        <v>1180</v>
      </c>
      <c r="BN9" t="s">
        <v>1181</v>
      </c>
      <c r="BO9" t="s">
        <v>1182</v>
      </c>
      <c r="BV9" s="12"/>
      <c r="BW9" s="12" t="s">
        <v>561</v>
      </c>
      <c r="BX9" s="12" t="s">
        <v>60</v>
      </c>
      <c r="BY9" s="91">
        <v>1220115</v>
      </c>
      <c r="BZ9" s="75">
        <v>0</v>
      </c>
      <c r="CA9" s="95"/>
      <c r="CC9" s="12"/>
      <c r="CD9" s="12" t="s">
        <v>22</v>
      </c>
      <c r="CE9" s="12" t="s">
        <v>948</v>
      </c>
      <c r="CF9" s="12">
        <v>1220115</v>
      </c>
      <c r="CG9" s="75">
        <v>0</v>
      </c>
      <c r="CH9" s="95" t="str">
        <f t="shared" si="3"/>
        <v>{[ML][LC1308SP]-[1220115]:[0]}</v>
      </c>
      <c r="CI9" s="18" t="s">
        <v>949</v>
      </c>
      <c r="CV9" s="63"/>
      <c r="CW9" s="17"/>
      <c r="CX9" s="77"/>
      <c r="CY9" s="186"/>
      <c r="CZ9" s="95"/>
      <c r="DA9" s="42"/>
      <c r="DE9" s="17"/>
      <c r="DF9" s="12"/>
      <c r="DG9" s="16"/>
      <c r="DH9" s="16"/>
      <c r="DI9" s="95"/>
      <c r="DJ9" s="42"/>
    </row>
    <row r="10" spans="3:120" x14ac:dyDescent="0.3">
      <c r="C10" s="116"/>
      <c r="D10" s="12" t="s">
        <v>15</v>
      </c>
      <c r="E10" s="12" t="s">
        <v>58</v>
      </c>
      <c r="F10" s="16">
        <v>1251001</v>
      </c>
      <c r="G10" s="75">
        <v>0</v>
      </c>
      <c r="H10" s="75"/>
      <c r="I10" s="75"/>
      <c r="J10" s="75"/>
      <c r="K10" s="12" t="s">
        <v>15</v>
      </c>
      <c r="L10" s="9" t="s">
        <v>24</v>
      </c>
      <c r="M10" s="9" t="s">
        <v>76</v>
      </c>
      <c r="N10" s="16">
        <v>1251001</v>
      </c>
      <c r="O10" s="75">
        <v>0</v>
      </c>
      <c r="S10" s="116"/>
      <c r="T10" s="12" t="s">
        <v>26</v>
      </c>
      <c r="U10" s="12">
        <v>1220115</v>
      </c>
      <c r="V10" s="75">
        <v>0</v>
      </c>
      <c r="W10" s="95"/>
      <c r="AA10" s="120"/>
      <c r="AB10" s="12" t="s">
        <v>547</v>
      </c>
      <c r="AC10" s="12">
        <v>1220115</v>
      </c>
      <c r="AD10" s="75">
        <v>0</v>
      </c>
      <c r="AH10" s="9" t="s">
        <v>66</v>
      </c>
      <c r="AI10" s="12" t="s">
        <v>425</v>
      </c>
      <c r="AJ10" s="12">
        <v>1250401</v>
      </c>
      <c r="AK10" s="75">
        <v>0</v>
      </c>
      <c r="AN10" s="63"/>
      <c r="AO10" s="12"/>
      <c r="AP10" s="12"/>
      <c r="AQ10" s="16"/>
      <c r="AX10" s="7"/>
      <c r="BB10" t="s">
        <v>1183</v>
      </c>
      <c r="BC10" t="s">
        <v>1184</v>
      </c>
      <c r="BD10" t="s">
        <v>1185</v>
      </c>
      <c r="BE10" t="s">
        <v>1186</v>
      </c>
      <c r="BF10" t="s">
        <v>1185</v>
      </c>
      <c r="BG10" t="s">
        <v>1187</v>
      </c>
      <c r="BH10" t="s">
        <v>1188</v>
      </c>
      <c r="BI10" t="s">
        <v>1187</v>
      </c>
      <c r="BJ10" t="s">
        <v>1187</v>
      </c>
      <c r="BK10" t="s">
        <v>1187</v>
      </c>
      <c r="BL10" t="s">
        <v>1187</v>
      </c>
      <c r="BM10" t="s">
        <v>1188</v>
      </c>
      <c r="BN10" t="s">
        <v>1188</v>
      </c>
      <c r="BO10" t="s">
        <v>1188</v>
      </c>
      <c r="BV10" s="12"/>
      <c r="BW10" s="12" t="s">
        <v>561</v>
      </c>
      <c r="BX10" s="12" t="s">
        <v>321</v>
      </c>
      <c r="BY10" s="91">
        <v>1220115</v>
      </c>
      <c r="BZ10" s="75">
        <v>0</v>
      </c>
      <c r="CA10" s="95"/>
      <c r="CC10" s="12"/>
      <c r="CD10" s="12" t="s">
        <v>518</v>
      </c>
      <c r="CE10" s="12" t="s">
        <v>948</v>
      </c>
      <c r="CF10" s="12">
        <v>1220115</v>
      </c>
      <c r="CG10" s="75">
        <v>0</v>
      </c>
      <c r="CH10" s="95" t="str">
        <f t="shared" si="3"/>
        <v>{[CL][LC1308SP]-[1220115]:[0]}</v>
      </c>
      <c r="CI10" s="18" t="s">
        <v>949</v>
      </c>
      <c r="CV10" s="63"/>
      <c r="CW10" s="12"/>
      <c r="CX10" s="77"/>
      <c r="CY10" s="186"/>
      <c r="CZ10" s="95"/>
      <c r="DA10" s="42"/>
    </row>
    <row r="11" spans="3:120" x14ac:dyDescent="0.3">
      <c r="C11" s="116"/>
      <c r="D11" s="12" t="s">
        <v>15</v>
      </c>
      <c r="E11" s="12" t="s">
        <v>71</v>
      </c>
      <c r="F11" s="16">
        <v>1251001</v>
      </c>
      <c r="G11" s="75">
        <v>0</v>
      </c>
      <c r="H11" s="75"/>
      <c r="I11" s="75"/>
      <c r="J11" s="75"/>
      <c r="K11" s="12" t="s">
        <v>15</v>
      </c>
      <c r="L11" s="9" t="s">
        <v>52</v>
      </c>
      <c r="M11" s="9" t="s">
        <v>76</v>
      </c>
      <c r="N11" s="16">
        <v>1251001</v>
      </c>
      <c r="O11" s="75">
        <v>0</v>
      </c>
      <c r="S11" s="116"/>
      <c r="T11" s="12" t="s">
        <v>27</v>
      </c>
      <c r="U11" s="12">
        <v>1220115</v>
      </c>
      <c r="V11" s="75">
        <v>0</v>
      </c>
      <c r="W11" s="95"/>
      <c r="AA11" s="120"/>
      <c r="AB11" s="12" t="s">
        <v>549</v>
      </c>
      <c r="AC11" s="12">
        <v>1220115</v>
      </c>
      <c r="AD11" s="75">
        <v>0</v>
      </c>
      <c r="AH11" s="9" t="s">
        <v>66</v>
      </c>
      <c r="AI11" s="12" t="s">
        <v>558</v>
      </c>
      <c r="AJ11" s="12">
        <v>1250401</v>
      </c>
      <c r="AK11" s="75">
        <v>0</v>
      </c>
      <c r="AN11" s="63"/>
      <c r="AO11" s="12"/>
      <c r="AP11" s="12"/>
      <c r="AQ11" s="16"/>
      <c r="AX11" s="7"/>
      <c r="BB11" s="9" t="s">
        <v>1189</v>
      </c>
      <c r="BC11" s="9" t="s">
        <v>1190</v>
      </c>
      <c r="BD11" t="s">
        <v>153</v>
      </c>
      <c r="BE11" t="s">
        <v>1191</v>
      </c>
      <c r="BF11" s="182">
        <v>1000</v>
      </c>
      <c r="BG11" s="182">
        <v>650</v>
      </c>
      <c r="BH11" s="75">
        <v>0</v>
      </c>
      <c r="BI11" s="75">
        <v>0</v>
      </c>
      <c r="BJ11" s="75">
        <v>0</v>
      </c>
      <c r="BK11" s="75">
        <v>0</v>
      </c>
      <c r="BL11" s="75">
        <v>0</v>
      </c>
      <c r="BM11" s="75">
        <v>0</v>
      </c>
      <c r="BN11" s="75">
        <v>0</v>
      </c>
      <c r="BO11" s="75">
        <v>0</v>
      </c>
      <c r="BV11" s="12"/>
      <c r="BW11" s="12" t="s">
        <v>561</v>
      </c>
      <c r="BX11" s="12" t="s">
        <v>912</v>
      </c>
      <c r="BY11" s="91">
        <v>1220115</v>
      </c>
      <c r="BZ11" s="75">
        <v>0</v>
      </c>
      <c r="CA11" s="95"/>
      <c r="CC11" s="12"/>
      <c r="CD11" s="12" t="s">
        <v>16</v>
      </c>
      <c r="CE11" s="12" t="s">
        <v>948</v>
      </c>
      <c r="CF11" s="12">
        <v>1220115</v>
      </c>
      <c r="CG11" s="75">
        <v>0</v>
      </c>
      <c r="CH11" s="95" t="str">
        <f t="shared" si="3"/>
        <v>{[LL][LC1308SP]-[1220115]:[0]}</v>
      </c>
      <c r="CI11" s="18" t="s">
        <v>949</v>
      </c>
    </row>
    <row r="12" spans="3:120" x14ac:dyDescent="0.3">
      <c r="C12" s="116"/>
      <c r="D12" s="12" t="s">
        <v>15</v>
      </c>
      <c r="E12" s="12" t="s">
        <v>85</v>
      </c>
      <c r="F12" s="16">
        <v>1251001</v>
      </c>
      <c r="G12" s="75">
        <v>0</v>
      </c>
      <c r="H12" s="75"/>
      <c r="I12" s="75"/>
      <c r="J12" s="75"/>
      <c r="K12" s="12" t="s">
        <v>15</v>
      </c>
      <c r="L12" s="9" t="s">
        <v>66</v>
      </c>
      <c r="M12" s="9" t="s">
        <v>177</v>
      </c>
      <c r="N12" s="16">
        <v>1251001</v>
      </c>
      <c r="O12" s="75">
        <v>0</v>
      </c>
      <c r="S12" s="116"/>
      <c r="T12" s="12" t="s">
        <v>185</v>
      </c>
      <c r="U12" s="12">
        <v>1220115</v>
      </c>
      <c r="V12" s="75">
        <v>0</v>
      </c>
      <c r="W12" s="95"/>
      <c r="AA12" s="120"/>
      <c r="AB12" s="9"/>
      <c r="AC12" s="12"/>
      <c r="AD12" s="16"/>
      <c r="AH12" s="9" t="s">
        <v>24</v>
      </c>
      <c r="AI12" s="12" t="s">
        <v>555</v>
      </c>
      <c r="AJ12" s="12">
        <v>1250401</v>
      </c>
      <c r="AK12" s="75">
        <v>0</v>
      </c>
      <c r="AN12" s="63"/>
      <c r="AO12" s="12"/>
      <c r="AP12" s="12"/>
      <c r="AQ12" s="16"/>
      <c r="AX12" s="7"/>
      <c r="BB12" s="9" t="s">
        <v>1189</v>
      </c>
      <c r="BC12" s="9" t="s">
        <v>1190</v>
      </c>
      <c r="BD12" t="s">
        <v>165</v>
      </c>
      <c r="BE12" t="s">
        <v>1192</v>
      </c>
      <c r="BF12" s="182">
        <v>1000</v>
      </c>
      <c r="BG12" s="182">
        <v>650</v>
      </c>
      <c r="BH12" s="75">
        <v>0</v>
      </c>
      <c r="BI12" s="75">
        <v>0</v>
      </c>
      <c r="BJ12" s="75">
        <v>0</v>
      </c>
      <c r="BK12" s="75">
        <v>0</v>
      </c>
      <c r="BL12" s="75">
        <v>0</v>
      </c>
      <c r="BM12" s="75">
        <v>0</v>
      </c>
      <c r="BN12" s="75">
        <v>0</v>
      </c>
      <c r="BO12" s="75">
        <v>0</v>
      </c>
      <c r="BV12" s="12"/>
      <c r="BW12" s="12" t="s">
        <v>561</v>
      </c>
      <c r="BX12" s="12" t="s">
        <v>904</v>
      </c>
      <c r="BY12" s="91">
        <v>1220115</v>
      </c>
      <c r="BZ12" s="75">
        <v>0</v>
      </c>
      <c r="CA12" s="95"/>
      <c r="CC12" s="12"/>
      <c r="CD12" s="12" t="s">
        <v>24</v>
      </c>
      <c r="CE12" s="12" t="s">
        <v>948</v>
      </c>
      <c r="CF12" s="12">
        <v>1220115</v>
      </c>
      <c r="CG12" s="75">
        <v>0</v>
      </c>
      <c r="CH12" s="95" t="str">
        <f t="shared" si="3"/>
        <v>{[LT][LC1308SP]-[1220115]:[0]}</v>
      </c>
      <c r="CI12" s="18" t="s">
        <v>949</v>
      </c>
    </row>
    <row r="13" spans="3:120" x14ac:dyDescent="0.3">
      <c r="C13" s="116"/>
      <c r="D13" s="12" t="s">
        <v>15</v>
      </c>
      <c r="E13" s="12" t="s">
        <v>100</v>
      </c>
      <c r="F13" s="16">
        <v>1251001</v>
      </c>
      <c r="G13" s="75">
        <v>0</v>
      </c>
      <c r="H13" s="75"/>
      <c r="I13" s="75"/>
      <c r="J13" s="75"/>
      <c r="K13" s="12" t="s">
        <v>15</v>
      </c>
      <c r="L13" s="9" t="s">
        <v>73</v>
      </c>
      <c r="M13" s="9" t="s">
        <v>177</v>
      </c>
      <c r="N13" s="16">
        <v>1251001</v>
      </c>
      <c r="O13" s="75">
        <v>0</v>
      </c>
      <c r="S13" s="116"/>
      <c r="T13" s="12" t="s">
        <v>23</v>
      </c>
      <c r="U13" s="12">
        <v>1220115</v>
      </c>
      <c r="V13" s="75">
        <v>0</v>
      </c>
      <c r="W13" s="95"/>
      <c r="AA13" s="120"/>
      <c r="AB13" s="9"/>
      <c r="AC13" s="12"/>
      <c r="AD13" s="16"/>
      <c r="AH13" s="9" t="s">
        <v>24</v>
      </c>
      <c r="AI13" s="12" t="s">
        <v>556</v>
      </c>
      <c r="AJ13" s="12">
        <v>1250401</v>
      </c>
      <c r="AK13" s="75">
        <v>0</v>
      </c>
      <c r="AN13" s="63"/>
      <c r="AO13" s="12"/>
      <c r="AP13" s="12"/>
      <c r="AQ13" s="16"/>
      <c r="BB13" s="9" t="s">
        <v>1193</v>
      </c>
      <c r="BC13" s="9" t="s">
        <v>1190</v>
      </c>
      <c r="BD13" t="s">
        <v>171</v>
      </c>
      <c r="BE13" t="s">
        <v>1194</v>
      </c>
      <c r="BF13" s="182">
        <v>1000</v>
      </c>
      <c r="BG13" s="182">
        <v>650</v>
      </c>
      <c r="BH13" s="75">
        <v>0</v>
      </c>
      <c r="BI13" s="75">
        <v>0</v>
      </c>
      <c r="BJ13" s="75">
        <v>0</v>
      </c>
      <c r="BK13" s="75">
        <v>0</v>
      </c>
      <c r="BL13" s="75">
        <v>0</v>
      </c>
      <c r="BM13" s="75">
        <v>0</v>
      </c>
      <c r="BN13" s="75">
        <v>0</v>
      </c>
      <c r="BO13" s="75">
        <v>0</v>
      </c>
      <c r="BV13" s="12"/>
      <c r="BW13" s="12" t="s">
        <v>561</v>
      </c>
      <c r="BX13" s="12" t="s">
        <v>26</v>
      </c>
      <c r="BY13" s="91">
        <v>1220115</v>
      </c>
      <c r="BZ13" s="75">
        <v>0</v>
      </c>
      <c r="CA13" s="95"/>
      <c r="CC13" s="12"/>
      <c r="CD13" s="12" t="s">
        <v>23</v>
      </c>
      <c r="CE13" s="12" t="s">
        <v>948</v>
      </c>
      <c r="CF13" s="12">
        <v>1220115</v>
      </c>
      <c r="CG13" s="75">
        <v>0</v>
      </c>
      <c r="CH13" s="95" t="str">
        <f t="shared" si="3"/>
        <v>{[LI][LC1308SP]-[1220115]:[0]}</v>
      </c>
      <c r="CI13" s="18" t="s">
        <v>949</v>
      </c>
    </row>
    <row r="14" spans="3:120" x14ac:dyDescent="0.3">
      <c r="C14" s="116"/>
      <c r="D14" s="12" t="s">
        <v>15</v>
      </c>
      <c r="E14" s="12" t="s">
        <v>51</v>
      </c>
      <c r="F14" s="16">
        <v>1251001</v>
      </c>
      <c r="G14" s="75">
        <v>0</v>
      </c>
      <c r="H14" s="75"/>
      <c r="I14" s="75"/>
      <c r="J14" s="75"/>
      <c r="K14" s="12" t="s">
        <v>15</v>
      </c>
      <c r="L14" s="9" t="s">
        <v>24</v>
      </c>
      <c r="M14" s="9" t="s">
        <v>177</v>
      </c>
      <c r="N14" s="16">
        <v>1251001</v>
      </c>
      <c r="O14" s="75">
        <v>0</v>
      </c>
      <c r="S14" s="116"/>
      <c r="T14" s="12"/>
      <c r="U14" s="12"/>
      <c r="V14" s="77"/>
      <c r="W14" s="95"/>
      <c r="AA14" s="120"/>
      <c r="AB14" s="9"/>
      <c r="AC14" s="12"/>
      <c r="AD14" s="16"/>
      <c r="AH14" s="9" t="s">
        <v>24</v>
      </c>
      <c r="AI14" s="12" t="s">
        <v>425</v>
      </c>
      <c r="AJ14" s="12">
        <v>1250401</v>
      </c>
      <c r="AK14" s="75">
        <v>0</v>
      </c>
      <c r="AN14" s="63"/>
      <c r="AO14" s="12"/>
      <c r="AP14" s="12"/>
      <c r="AQ14" s="16"/>
      <c r="BB14" s="9" t="s">
        <v>1189</v>
      </c>
      <c r="BC14" s="9" t="s">
        <v>1190</v>
      </c>
      <c r="BD14" t="s">
        <v>159</v>
      </c>
      <c r="BE14" t="s">
        <v>1195</v>
      </c>
      <c r="BF14" s="182">
        <v>1000</v>
      </c>
      <c r="BG14" s="182">
        <v>650</v>
      </c>
      <c r="BH14" s="75">
        <v>0</v>
      </c>
      <c r="BI14" s="75">
        <v>0</v>
      </c>
      <c r="BJ14" s="75">
        <v>0</v>
      </c>
      <c r="BK14" s="75">
        <v>0</v>
      </c>
      <c r="BL14" s="75">
        <v>0</v>
      </c>
      <c r="BM14" s="75">
        <v>0</v>
      </c>
      <c r="BN14" s="75">
        <v>0</v>
      </c>
      <c r="BO14" s="75">
        <v>0</v>
      </c>
      <c r="BV14" s="12"/>
      <c r="BW14" s="12" t="s">
        <v>561</v>
      </c>
      <c r="BX14" s="12" t="s">
        <v>914</v>
      </c>
      <c r="BY14" s="91">
        <v>1220115</v>
      </c>
      <c r="BZ14" s="75">
        <v>0</v>
      </c>
      <c r="CA14" s="95"/>
      <c r="CC14" s="12"/>
      <c r="CD14" s="12" t="s">
        <v>22</v>
      </c>
      <c r="CE14" s="12" t="s">
        <v>950</v>
      </c>
      <c r="CF14" s="12">
        <v>1220115</v>
      </c>
      <c r="CG14" s="75">
        <v>0</v>
      </c>
      <c r="CH14" s="95" t="str">
        <f t="shared" si="3"/>
        <v>{[ML][NSP]-[1220115]:[0]}</v>
      </c>
      <c r="CI14" s="18" t="s">
        <v>951</v>
      </c>
    </row>
    <row r="15" spans="3:120" x14ac:dyDescent="0.3">
      <c r="C15" s="116"/>
      <c r="D15" s="12" t="s">
        <v>15</v>
      </c>
      <c r="E15" s="12" t="s">
        <v>62</v>
      </c>
      <c r="F15" s="16">
        <v>1251001</v>
      </c>
      <c r="G15" s="75">
        <v>0</v>
      </c>
      <c r="H15" s="75"/>
      <c r="I15" s="75"/>
      <c r="J15" s="75"/>
      <c r="K15" s="12" t="s">
        <v>15</v>
      </c>
      <c r="L15" s="9" t="s">
        <v>52</v>
      </c>
      <c r="M15" s="9" t="s">
        <v>177</v>
      </c>
      <c r="N15" s="16">
        <v>1251001</v>
      </c>
      <c r="O15" s="75">
        <v>0</v>
      </c>
      <c r="S15" s="116"/>
      <c r="T15" s="12"/>
      <c r="U15" s="12"/>
      <c r="V15" s="77"/>
      <c r="W15" s="95"/>
      <c r="AA15" s="110"/>
      <c r="AB15" s="9"/>
      <c r="AC15" s="12"/>
      <c r="AD15" s="16"/>
      <c r="AH15" s="9" t="s">
        <v>24</v>
      </c>
      <c r="AI15" s="12" t="s">
        <v>558</v>
      </c>
      <c r="AJ15" s="12">
        <v>1250401</v>
      </c>
      <c r="AK15" s="75">
        <v>0</v>
      </c>
      <c r="BB15" s="9" t="s">
        <v>1196</v>
      </c>
      <c r="BC15" s="9" t="s">
        <v>1190</v>
      </c>
      <c r="BD15" t="s">
        <v>154</v>
      </c>
      <c r="BE15" t="s">
        <v>1197</v>
      </c>
      <c r="BF15" s="182">
        <v>1000</v>
      </c>
      <c r="BG15" s="182">
        <v>650</v>
      </c>
      <c r="BH15" s="75">
        <v>0</v>
      </c>
      <c r="BI15" s="75">
        <v>0</v>
      </c>
      <c r="BJ15" s="75">
        <v>0</v>
      </c>
      <c r="BK15" s="75">
        <v>0</v>
      </c>
      <c r="BL15" s="75">
        <v>0</v>
      </c>
      <c r="BM15" s="75">
        <v>0</v>
      </c>
      <c r="BN15" s="75">
        <v>0</v>
      </c>
      <c r="BO15" s="75">
        <v>0</v>
      </c>
      <c r="BV15" s="12"/>
      <c r="BW15" s="12" t="s">
        <v>561</v>
      </c>
      <c r="BX15" s="12" t="s">
        <v>902</v>
      </c>
      <c r="BY15" s="91">
        <v>1220115</v>
      </c>
      <c r="BZ15" s="75">
        <v>0</v>
      </c>
      <c r="CA15" s="95"/>
      <c r="CC15" s="12"/>
      <c r="CD15" s="12" t="s">
        <v>518</v>
      </c>
      <c r="CE15" s="12" t="s">
        <v>950</v>
      </c>
      <c r="CF15" s="12">
        <v>1220115</v>
      </c>
      <c r="CG15" s="75">
        <v>0</v>
      </c>
      <c r="CH15" s="95" t="str">
        <f t="shared" si="3"/>
        <v>{[CL][NSP]-[1220115]:[0]}</v>
      </c>
      <c r="CI15" s="18" t="s">
        <v>951</v>
      </c>
    </row>
    <row r="16" spans="3:120" x14ac:dyDescent="0.3">
      <c r="C16" s="116"/>
      <c r="D16" s="12" t="s">
        <v>15</v>
      </c>
      <c r="E16" s="12" t="s">
        <v>74</v>
      </c>
      <c r="F16" s="16">
        <v>1251001</v>
      </c>
      <c r="G16" s="75">
        <v>0</v>
      </c>
      <c r="H16" s="75"/>
      <c r="I16" s="75"/>
      <c r="J16" s="75"/>
      <c r="K16" s="12" t="s">
        <v>15</v>
      </c>
      <c r="L16" s="9" t="s">
        <v>66</v>
      </c>
      <c r="M16" s="9" t="s">
        <v>188</v>
      </c>
      <c r="N16" s="16">
        <v>1251001</v>
      </c>
      <c r="O16" s="75">
        <v>0</v>
      </c>
      <c r="S16" s="116"/>
      <c r="T16" s="12"/>
      <c r="U16" s="12"/>
      <c r="V16" s="77"/>
      <c r="W16" s="95"/>
      <c r="AA16" s="110"/>
      <c r="AB16" s="12"/>
      <c r="AC16" s="12"/>
      <c r="AD16" s="16"/>
      <c r="AH16" s="9" t="s">
        <v>52</v>
      </c>
      <c r="AI16" s="12" t="s">
        <v>555</v>
      </c>
      <c r="AJ16" s="12">
        <v>1250401</v>
      </c>
      <c r="AK16" s="75">
        <v>0</v>
      </c>
      <c r="BB16" s="9" t="s">
        <v>1196</v>
      </c>
      <c r="BC16" s="9" t="s">
        <v>1190</v>
      </c>
      <c r="BD16" t="s">
        <v>166</v>
      </c>
      <c r="BE16" t="s">
        <v>1198</v>
      </c>
      <c r="BF16" s="182">
        <v>1000</v>
      </c>
      <c r="BG16" s="182">
        <v>650</v>
      </c>
      <c r="BH16" s="75">
        <v>0</v>
      </c>
      <c r="BI16" s="75">
        <v>0</v>
      </c>
      <c r="BJ16" s="75">
        <v>0</v>
      </c>
      <c r="BK16" s="75">
        <v>0</v>
      </c>
      <c r="BL16" s="75">
        <v>0</v>
      </c>
      <c r="BM16" s="75">
        <v>0</v>
      </c>
      <c r="BN16" s="75">
        <v>0</v>
      </c>
      <c r="BO16" s="75">
        <v>0</v>
      </c>
      <c r="BV16" s="12"/>
      <c r="BW16" s="12" t="s">
        <v>562</v>
      </c>
      <c r="BX16" s="12" t="s">
        <v>309</v>
      </c>
      <c r="BY16" s="91">
        <v>1220115</v>
      </c>
      <c r="BZ16" s="75">
        <v>0</v>
      </c>
      <c r="CA16" s="95"/>
      <c r="CC16" s="12"/>
      <c r="CD16" s="12" t="s">
        <v>16</v>
      </c>
      <c r="CE16" s="12" t="s">
        <v>950</v>
      </c>
      <c r="CF16" s="12">
        <v>1220115</v>
      </c>
      <c r="CG16" s="75">
        <v>0</v>
      </c>
      <c r="CH16" s="95" t="str">
        <f t="shared" si="3"/>
        <v>{[LL][NSP]-[1220115]:[0]}</v>
      </c>
      <c r="CI16" s="18" t="s">
        <v>951</v>
      </c>
    </row>
    <row r="17" spans="3:87" x14ac:dyDescent="0.3">
      <c r="C17" s="116"/>
      <c r="D17" s="12" t="s">
        <v>15</v>
      </c>
      <c r="E17" s="12" t="s">
        <v>88</v>
      </c>
      <c r="F17" s="16">
        <v>1251001</v>
      </c>
      <c r="G17" s="75">
        <v>0</v>
      </c>
      <c r="H17" s="75"/>
      <c r="I17" s="75"/>
      <c r="J17" s="75"/>
      <c r="K17" s="12" t="s">
        <v>15</v>
      </c>
      <c r="L17" s="9" t="s">
        <v>73</v>
      </c>
      <c r="M17" s="9" t="s">
        <v>188</v>
      </c>
      <c r="N17" s="16">
        <v>1251001</v>
      </c>
      <c r="O17" s="75">
        <v>0</v>
      </c>
      <c r="S17" s="116"/>
      <c r="T17" s="12"/>
      <c r="U17" s="12"/>
      <c r="V17" s="77"/>
      <c r="W17" s="95"/>
      <c r="AA17" s="110"/>
      <c r="AB17" s="12"/>
      <c r="AC17" s="12"/>
      <c r="AD17" s="16"/>
      <c r="AH17" s="9" t="s">
        <v>52</v>
      </c>
      <c r="AI17" s="12" t="s">
        <v>556</v>
      </c>
      <c r="AJ17" s="12">
        <v>1250401</v>
      </c>
      <c r="AK17" s="75">
        <v>0</v>
      </c>
      <c r="AN17" s="9" t="s">
        <v>73</v>
      </c>
      <c r="AO17" s="12" t="s">
        <v>555</v>
      </c>
      <c r="AP17" s="3">
        <v>100</v>
      </c>
      <c r="BB17" s="9" t="s">
        <v>1199</v>
      </c>
      <c r="BC17" s="9" t="s">
        <v>1190</v>
      </c>
      <c r="BD17" t="s">
        <v>172</v>
      </c>
      <c r="BE17" t="s">
        <v>1200</v>
      </c>
      <c r="BF17" s="182">
        <v>1000</v>
      </c>
      <c r="BG17" s="182">
        <v>650</v>
      </c>
      <c r="BH17" s="75">
        <v>0</v>
      </c>
      <c r="BI17" s="75">
        <v>0</v>
      </c>
      <c r="BJ17" s="75">
        <v>0</v>
      </c>
      <c r="BK17" s="75">
        <v>0</v>
      </c>
      <c r="BL17" s="75">
        <v>0</v>
      </c>
      <c r="BM17" s="75">
        <v>0</v>
      </c>
      <c r="BN17" s="75">
        <v>0</v>
      </c>
      <c r="BO17" s="75">
        <v>0</v>
      </c>
      <c r="BV17" s="12"/>
      <c r="BW17" s="12" t="s">
        <v>562</v>
      </c>
      <c r="BX17" s="12" t="s">
        <v>909</v>
      </c>
      <c r="BY17" s="91">
        <v>1220115</v>
      </c>
      <c r="BZ17" s="75">
        <v>0</v>
      </c>
      <c r="CA17" s="95"/>
      <c r="CC17" s="12"/>
      <c r="CD17" s="12" t="s">
        <v>24</v>
      </c>
      <c r="CE17" s="12" t="s">
        <v>950</v>
      </c>
      <c r="CF17" s="12">
        <v>1220115</v>
      </c>
      <c r="CG17" s="75">
        <v>0</v>
      </c>
      <c r="CH17" s="95" t="str">
        <f t="shared" si="3"/>
        <v>{[LT][NSP]-[1220115]:[0]}</v>
      </c>
      <c r="CI17" s="18" t="s">
        <v>951</v>
      </c>
    </row>
    <row r="18" spans="3:87" x14ac:dyDescent="0.3">
      <c r="C18" s="116"/>
      <c r="D18" s="12" t="s">
        <v>15</v>
      </c>
      <c r="E18" s="12" t="s">
        <v>104</v>
      </c>
      <c r="F18" s="16">
        <v>1251001</v>
      </c>
      <c r="G18" s="75">
        <v>0</v>
      </c>
      <c r="H18" s="75"/>
      <c r="I18" s="75"/>
      <c r="J18" s="75"/>
      <c r="K18" s="12" t="s">
        <v>15</v>
      </c>
      <c r="L18" s="9" t="s">
        <v>24</v>
      </c>
      <c r="M18" s="9" t="s">
        <v>188</v>
      </c>
      <c r="N18" s="16">
        <v>1251001</v>
      </c>
      <c r="O18" s="75">
        <v>0</v>
      </c>
      <c r="S18" s="116"/>
      <c r="T18" s="12"/>
      <c r="U18" s="12"/>
      <c r="V18" s="77"/>
      <c r="W18" s="95"/>
      <c r="AA18" s="110"/>
      <c r="AB18" s="12"/>
      <c r="AC18" s="12"/>
      <c r="AD18" s="16"/>
      <c r="AH18" s="9" t="s">
        <v>52</v>
      </c>
      <c r="AI18" s="12" t="s">
        <v>425</v>
      </c>
      <c r="AJ18" s="12">
        <v>1250401</v>
      </c>
      <c r="AK18" s="75">
        <v>0</v>
      </c>
      <c r="AN18" s="9" t="s">
        <v>73</v>
      </c>
      <c r="AO18" s="12" t="s">
        <v>556</v>
      </c>
      <c r="AP18" s="3">
        <v>101</v>
      </c>
      <c r="BB18" s="9" t="s">
        <v>1196</v>
      </c>
      <c r="BC18" s="9" t="s">
        <v>1190</v>
      </c>
      <c r="BD18" t="s">
        <v>160</v>
      </c>
      <c r="BE18" t="s">
        <v>1201</v>
      </c>
      <c r="BF18" s="182">
        <v>1000</v>
      </c>
      <c r="BG18" s="182">
        <v>650</v>
      </c>
      <c r="BH18" s="75">
        <v>0</v>
      </c>
      <c r="BI18" s="75">
        <v>0</v>
      </c>
      <c r="BJ18" s="75">
        <v>0</v>
      </c>
      <c r="BK18" s="75">
        <v>0</v>
      </c>
      <c r="BL18" s="75">
        <v>0</v>
      </c>
      <c r="BM18" s="75">
        <v>0</v>
      </c>
      <c r="BN18" s="75">
        <v>0</v>
      </c>
      <c r="BO18" s="75">
        <v>0</v>
      </c>
      <c r="BV18" s="12"/>
      <c r="BW18" s="12" t="s">
        <v>562</v>
      </c>
      <c r="BX18" s="12" t="s">
        <v>907</v>
      </c>
      <c r="BY18" s="91">
        <v>1220115</v>
      </c>
      <c r="BZ18" s="75">
        <v>0</v>
      </c>
      <c r="CA18" s="95"/>
      <c r="CC18" s="12"/>
      <c r="CD18" s="12" t="s">
        <v>23</v>
      </c>
      <c r="CE18" s="12" t="s">
        <v>950</v>
      </c>
      <c r="CF18" s="12">
        <v>1220115</v>
      </c>
      <c r="CG18" s="75">
        <v>0</v>
      </c>
      <c r="CH18" s="95" t="str">
        <f t="shared" si="3"/>
        <v>{[LI][NSP]-[1220115]:[0]}</v>
      </c>
      <c r="CI18" s="18" t="s">
        <v>951</v>
      </c>
    </row>
    <row r="19" spans="3:87" x14ac:dyDescent="0.3">
      <c r="C19" s="116"/>
      <c r="D19" s="12" t="s">
        <v>15</v>
      </c>
      <c r="E19" s="12" t="s">
        <v>64</v>
      </c>
      <c r="F19" s="16">
        <v>1251001</v>
      </c>
      <c r="G19" s="75">
        <v>0</v>
      </c>
      <c r="H19" s="75"/>
      <c r="I19" s="75"/>
      <c r="J19" s="75"/>
      <c r="K19" s="12" t="s">
        <v>15</v>
      </c>
      <c r="L19" s="9" t="s">
        <v>52</v>
      </c>
      <c r="M19" s="9" t="s">
        <v>188</v>
      </c>
      <c r="N19" s="16">
        <v>1251001</v>
      </c>
      <c r="O19" s="75">
        <v>0</v>
      </c>
      <c r="S19" s="116"/>
      <c r="T19" s="12"/>
      <c r="U19" s="12"/>
      <c r="V19" s="77"/>
      <c r="W19" s="95"/>
      <c r="AA19" s="110"/>
      <c r="AB19" s="12"/>
      <c r="AC19" s="12"/>
      <c r="AD19" s="16"/>
      <c r="AH19" s="9" t="s">
        <v>52</v>
      </c>
      <c r="AI19" s="12" t="s">
        <v>558</v>
      </c>
      <c r="AJ19" s="12">
        <v>1250401</v>
      </c>
      <c r="AK19" s="75">
        <v>0</v>
      </c>
      <c r="AN19" s="9" t="s">
        <v>73</v>
      </c>
      <c r="AO19" s="12" t="s">
        <v>425</v>
      </c>
      <c r="AP19" s="3">
        <v>102</v>
      </c>
      <c r="BB19" s="9" t="s">
        <v>1202</v>
      </c>
      <c r="BC19" s="9" t="s">
        <v>1190</v>
      </c>
      <c r="BD19" t="s">
        <v>155</v>
      </c>
      <c r="BE19" t="s">
        <v>1203</v>
      </c>
      <c r="BF19" s="182">
        <v>1000</v>
      </c>
      <c r="BG19" s="182">
        <v>650</v>
      </c>
      <c r="BH19" s="75">
        <v>0</v>
      </c>
      <c r="BI19" s="75">
        <v>0</v>
      </c>
      <c r="BJ19" s="75">
        <v>0</v>
      </c>
      <c r="BK19" s="75">
        <v>0</v>
      </c>
      <c r="BL19" s="75">
        <v>0</v>
      </c>
      <c r="BM19" s="75">
        <v>0</v>
      </c>
      <c r="BN19" s="75">
        <v>0</v>
      </c>
      <c r="BO19" s="75">
        <v>0</v>
      </c>
      <c r="BV19" s="12"/>
      <c r="BW19" s="12" t="s">
        <v>562</v>
      </c>
      <c r="BX19" s="12" t="s">
        <v>60</v>
      </c>
      <c r="BY19" s="91">
        <v>1220115</v>
      </c>
      <c r="BZ19" s="75">
        <v>0</v>
      </c>
      <c r="CA19" s="95"/>
      <c r="CC19" s="12"/>
      <c r="CD19" s="12" t="s">
        <v>22</v>
      </c>
      <c r="CE19" s="12" t="s">
        <v>952</v>
      </c>
      <c r="CF19" s="12">
        <v>1220115</v>
      </c>
      <c r="CG19" s="75">
        <v>0</v>
      </c>
      <c r="CH19" s="95" t="str">
        <f t="shared" si="3"/>
        <v>{[ML][LAC2973SP]-[1220115]:[0]}</v>
      </c>
      <c r="CI19" s="18" t="s">
        <v>953</v>
      </c>
    </row>
    <row r="20" spans="3:87" x14ac:dyDescent="0.3">
      <c r="C20" s="116"/>
      <c r="D20" s="12" t="s">
        <v>15</v>
      </c>
      <c r="E20" s="12" t="s">
        <v>77</v>
      </c>
      <c r="F20" s="16">
        <v>1251001</v>
      </c>
      <c r="G20" s="75">
        <v>0</v>
      </c>
      <c r="H20" s="75"/>
      <c r="I20" s="75"/>
      <c r="J20" s="75"/>
      <c r="K20" s="12" t="s">
        <v>16</v>
      </c>
      <c r="L20" s="9" t="s">
        <v>66</v>
      </c>
      <c r="M20" s="9" t="s">
        <v>43</v>
      </c>
      <c r="N20" s="16">
        <v>1251001</v>
      </c>
      <c r="O20" s="75">
        <v>0</v>
      </c>
      <c r="S20" s="116"/>
      <c r="T20" s="12"/>
      <c r="U20" s="12"/>
      <c r="V20" s="77"/>
      <c r="W20" s="95"/>
      <c r="AN20" s="9" t="s">
        <v>73</v>
      </c>
      <c r="AO20" s="12" t="s">
        <v>558</v>
      </c>
      <c r="AP20" s="3">
        <v>103</v>
      </c>
      <c r="BB20" s="9" t="s">
        <v>1202</v>
      </c>
      <c r="BC20" s="9" t="s">
        <v>1190</v>
      </c>
      <c r="BD20" t="s">
        <v>167</v>
      </c>
      <c r="BE20" t="s">
        <v>1204</v>
      </c>
      <c r="BF20" s="182">
        <v>1000</v>
      </c>
      <c r="BG20" s="182">
        <v>650</v>
      </c>
      <c r="BH20" s="75">
        <v>0</v>
      </c>
      <c r="BI20" s="75">
        <v>0</v>
      </c>
      <c r="BJ20" s="75">
        <v>0</v>
      </c>
      <c r="BK20" s="75">
        <v>0</v>
      </c>
      <c r="BL20" s="75">
        <v>0</v>
      </c>
      <c r="BM20" s="75">
        <v>0</v>
      </c>
      <c r="BN20" s="75">
        <v>0</v>
      </c>
      <c r="BO20" s="75">
        <v>0</v>
      </c>
      <c r="BV20" s="12"/>
      <c r="BW20" s="12" t="s">
        <v>562</v>
      </c>
      <c r="BX20" s="12" t="s">
        <v>321</v>
      </c>
      <c r="BY20" s="91">
        <v>1220115</v>
      </c>
      <c r="BZ20" s="75">
        <v>0</v>
      </c>
      <c r="CA20" s="95"/>
      <c r="CC20" s="12"/>
      <c r="CD20" s="12" t="s">
        <v>518</v>
      </c>
      <c r="CE20" s="12" t="s">
        <v>952</v>
      </c>
      <c r="CF20" s="12">
        <v>1220115</v>
      </c>
      <c r="CG20" s="75">
        <v>0</v>
      </c>
      <c r="CH20" s="95" t="str">
        <f t="shared" si="3"/>
        <v>{[CL][LAC2973SP]-[1220115]:[0]}</v>
      </c>
      <c r="CI20" s="18" t="s">
        <v>953</v>
      </c>
    </row>
    <row r="21" spans="3:87" x14ac:dyDescent="0.3">
      <c r="C21" s="116"/>
      <c r="D21" s="12" t="s">
        <v>15</v>
      </c>
      <c r="E21" s="12" t="s">
        <v>90</v>
      </c>
      <c r="F21" s="16">
        <v>1251001</v>
      </c>
      <c r="G21" s="75">
        <v>0</v>
      </c>
      <c r="H21" s="75"/>
      <c r="I21" s="75"/>
      <c r="J21" s="75"/>
      <c r="K21" s="12" t="s">
        <v>16</v>
      </c>
      <c r="L21" s="9" t="s">
        <v>73</v>
      </c>
      <c r="M21" s="9" t="s">
        <v>43</v>
      </c>
      <c r="N21" s="16">
        <v>1251001</v>
      </c>
      <c r="O21" s="75">
        <v>0</v>
      </c>
      <c r="S21" s="11"/>
      <c r="AN21" s="9" t="s">
        <v>66</v>
      </c>
      <c r="AO21" s="12" t="s">
        <v>555</v>
      </c>
      <c r="AP21" s="3">
        <v>104</v>
      </c>
      <c r="BB21" s="9" t="s">
        <v>1205</v>
      </c>
      <c r="BC21" s="9" t="s">
        <v>1190</v>
      </c>
      <c r="BD21" t="s">
        <v>173</v>
      </c>
      <c r="BE21" t="s">
        <v>1206</v>
      </c>
      <c r="BF21" s="182">
        <v>1000</v>
      </c>
      <c r="BG21" s="182">
        <v>650</v>
      </c>
      <c r="BH21" s="75">
        <v>0</v>
      </c>
      <c r="BI21" s="75">
        <v>0</v>
      </c>
      <c r="BJ21" s="75">
        <v>0</v>
      </c>
      <c r="BK21" s="75">
        <v>0</v>
      </c>
      <c r="BL21" s="75">
        <v>0</v>
      </c>
      <c r="BM21" s="75">
        <v>0</v>
      </c>
      <c r="BN21" s="75">
        <v>0</v>
      </c>
      <c r="BO21" s="75">
        <v>0</v>
      </c>
      <c r="BV21" s="12"/>
      <c r="BW21" s="12" t="s">
        <v>562</v>
      </c>
      <c r="BX21" s="12" t="s">
        <v>912</v>
      </c>
      <c r="BY21" s="91">
        <v>1220115</v>
      </c>
      <c r="BZ21" s="75">
        <v>0</v>
      </c>
      <c r="CA21" s="95"/>
      <c r="CC21" s="12"/>
      <c r="CD21" s="12" t="s">
        <v>16</v>
      </c>
      <c r="CE21" s="12" t="s">
        <v>952</v>
      </c>
      <c r="CF21" s="12">
        <v>1220115</v>
      </c>
      <c r="CG21" s="75">
        <v>0</v>
      </c>
      <c r="CH21" s="95" t="str">
        <f t="shared" si="3"/>
        <v>{[LL][LAC2973SP]-[1220115]:[0]}</v>
      </c>
      <c r="CI21" s="18" t="s">
        <v>953</v>
      </c>
    </row>
    <row r="22" spans="3:87" x14ac:dyDescent="0.3">
      <c r="C22" s="116"/>
      <c r="D22" s="12" t="s">
        <v>15</v>
      </c>
      <c r="E22" s="12" t="s">
        <v>81</v>
      </c>
      <c r="F22" s="16">
        <v>1251001</v>
      </c>
      <c r="G22" s="75">
        <v>0</v>
      </c>
      <c r="H22" s="75"/>
      <c r="I22" s="75"/>
      <c r="J22" s="75"/>
      <c r="K22" s="12" t="s">
        <v>16</v>
      </c>
      <c r="L22" s="9" t="s">
        <v>24</v>
      </c>
      <c r="M22" s="9" t="s">
        <v>43</v>
      </c>
      <c r="N22" s="16">
        <v>1251001</v>
      </c>
      <c r="O22" s="75">
        <v>0</v>
      </c>
      <c r="S22" s="11"/>
      <c r="AJ22" s="3" t="s">
        <v>893</v>
      </c>
      <c r="AK22" s="9" t="s">
        <v>24</v>
      </c>
      <c r="AN22" s="9" t="s">
        <v>66</v>
      </c>
      <c r="AO22" s="12" t="s">
        <v>556</v>
      </c>
      <c r="AP22" s="3">
        <v>105</v>
      </c>
      <c r="BB22" s="9" t="s">
        <v>1202</v>
      </c>
      <c r="BC22" s="9" t="s">
        <v>1190</v>
      </c>
      <c r="BD22" t="s">
        <v>161</v>
      </c>
      <c r="BE22" t="s">
        <v>1207</v>
      </c>
      <c r="BF22" s="182">
        <v>1000</v>
      </c>
      <c r="BG22" s="182">
        <v>650</v>
      </c>
      <c r="BH22" s="75">
        <v>0</v>
      </c>
      <c r="BI22" s="75">
        <v>0</v>
      </c>
      <c r="BJ22" s="75">
        <v>0</v>
      </c>
      <c r="BK22" s="75">
        <v>0</v>
      </c>
      <c r="BL22" s="75">
        <v>0</v>
      </c>
      <c r="BM22" s="75">
        <v>0</v>
      </c>
      <c r="BN22" s="75">
        <v>0</v>
      </c>
      <c r="BO22" s="75">
        <v>0</v>
      </c>
      <c r="BV22" s="12"/>
      <c r="BW22" s="12" t="s">
        <v>562</v>
      </c>
      <c r="BX22" s="12" t="s">
        <v>904</v>
      </c>
      <c r="BY22" s="91">
        <v>1220115</v>
      </c>
      <c r="BZ22" s="75">
        <v>0</v>
      </c>
      <c r="CA22" s="95"/>
      <c r="CC22" s="12"/>
      <c r="CD22" s="12" t="s">
        <v>24</v>
      </c>
      <c r="CE22" s="12" t="s">
        <v>952</v>
      </c>
      <c r="CF22" s="12">
        <v>1220115</v>
      </c>
      <c r="CG22" s="75">
        <v>0</v>
      </c>
      <c r="CH22" s="95" t="str">
        <f t="shared" si="3"/>
        <v>{[LT][LAC2973SP]-[1220115]:[0]}</v>
      </c>
      <c r="CI22" s="18" t="s">
        <v>953</v>
      </c>
    </row>
    <row r="23" spans="3:87" x14ac:dyDescent="0.3">
      <c r="C23" s="116"/>
      <c r="D23" s="12" t="s">
        <v>15</v>
      </c>
      <c r="E23" s="12" t="s">
        <v>93</v>
      </c>
      <c r="F23" s="16">
        <v>1251001</v>
      </c>
      <c r="G23" s="75">
        <v>0</v>
      </c>
      <c r="H23" s="75"/>
      <c r="I23" s="75"/>
      <c r="J23" s="75"/>
      <c r="K23" s="12" t="s">
        <v>16</v>
      </c>
      <c r="L23" s="9" t="s">
        <v>52</v>
      </c>
      <c r="M23" s="9" t="s">
        <v>43</v>
      </c>
      <c r="N23" s="16">
        <v>1251001</v>
      </c>
      <c r="O23" s="75">
        <v>0</v>
      </c>
      <c r="S23" s="11"/>
      <c r="AJ23" s="3" t="s">
        <v>1325</v>
      </c>
      <c r="AK23" s="12" t="s">
        <v>556</v>
      </c>
      <c r="AN23" s="9" t="s">
        <v>66</v>
      </c>
      <c r="AO23" s="12" t="s">
        <v>425</v>
      </c>
      <c r="AP23" s="3">
        <v>106</v>
      </c>
      <c r="BB23" s="9" t="s">
        <v>1208</v>
      </c>
      <c r="BC23" s="9" t="s">
        <v>1190</v>
      </c>
      <c r="BD23" t="s">
        <v>152</v>
      </c>
      <c r="BE23" t="s">
        <v>1209</v>
      </c>
      <c r="BF23" s="182">
        <v>1000</v>
      </c>
      <c r="BG23" s="182">
        <v>650</v>
      </c>
      <c r="BH23" s="75">
        <v>0</v>
      </c>
      <c r="BI23" s="75">
        <v>0</v>
      </c>
      <c r="BJ23" s="75">
        <v>0</v>
      </c>
      <c r="BK23" s="75">
        <v>0</v>
      </c>
      <c r="BL23" s="75">
        <v>0</v>
      </c>
      <c r="BM23" s="75">
        <v>0</v>
      </c>
      <c r="BN23" s="75">
        <v>0</v>
      </c>
      <c r="BO23" s="75">
        <v>0</v>
      </c>
      <c r="BV23" s="12"/>
      <c r="BW23" s="12" t="s">
        <v>562</v>
      </c>
      <c r="BX23" s="12" t="s">
        <v>26</v>
      </c>
      <c r="BY23" s="91">
        <v>1220115</v>
      </c>
      <c r="BZ23" s="75">
        <v>0</v>
      </c>
      <c r="CA23" s="95"/>
      <c r="CC23" s="12"/>
      <c r="CD23" s="12" t="s">
        <v>23</v>
      </c>
      <c r="CE23" s="12" t="s">
        <v>952</v>
      </c>
      <c r="CF23" s="12">
        <v>1220115</v>
      </c>
      <c r="CG23" s="75">
        <v>0</v>
      </c>
      <c r="CH23" s="95" t="str">
        <f t="shared" si="3"/>
        <v>{[LI][LAC2973SP]-[1220115]:[0]}</v>
      </c>
      <c r="CI23" s="18" t="s">
        <v>953</v>
      </c>
    </row>
    <row r="24" spans="3:87" x14ac:dyDescent="0.3">
      <c r="C24" s="116"/>
      <c r="D24" s="12" t="s">
        <v>15</v>
      </c>
      <c r="E24" s="12" t="s">
        <v>110</v>
      </c>
      <c r="F24" s="16">
        <v>1251001</v>
      </c>
      <c r="G24" s="75">
        <v>0</v>
      </c>
      <c r="H24" s="75"/>
      <c r="I24" s="75"/>
      <c r="J24" s="75"/>
      <c r="K24" s="12" t="s">
        <v>16</v>
      </c>
      <c r="L24" s="9" t="s">
        <v>66</v>
      </c>
      <c r="M24" s="9" t="s">
        <v>76</v>
      </c>
      <c r="N24" s="16">
        <v>1251001</v>
      </c>
      <c r="O24" s="75">
        <v>0</v>
      </c>
      <c r="S24" s="11"/>
      <c r="AJ24" s="3" t="s">
        <v>1359</v>
      </c>
      <c r="AK24" cm="1">
        <f t="array" ref="AK24">INDEX(AP17:AP32,MATCH(AK22&amp;"."&amp;AK23,AN17:AN32&amp;"."&amp;AO17:AO32,0))</f>
        <v>109</v>
      </c>
      <c r="AN24" s="144" t="s">
        <v>66</v>
      </c>
      <c r="AO24" s="16" t="s">
        <v>558</v>
      </c>
      <c r="AP24" s="7">
        <v>107</v>
      </c>
      <c r="BB24" s="9" t="s">
        <v>1208</v>
      </c>
      <c r="BC24" s="9" t="s">
        <v>1190</v>
      </c>
      <c r="BD24" t="s">
        <v>164</v>
      </c>
      <c r="BE24" t="s">
        <v>1210</v>
      </c>
      <c r="BF24" s="182">
        <v>1000</v>
      </c>
      <c r="BG24" s="182">
        <v>650</v>
      </c>
      <c r="BH24" s="75">
        <v>0</v>
      </c>
      <c r="BI24" s="75">
        <v>0</v>
      </c>
      <c r="BJ24" s="75">
        <v>0</v>
      </c>
      <c r="BK24" s="75">
        <v>0</v>
      </c>
      <c r="BL24" s="75">
        <v>0</v>
      </c>
      <c r="BM24" s="75">
        <v>0</v>
      </c>
      <c r="BN24" s="75">
        <v>0</v>
      </c>
      <c r="BO24" s="75">
        <v>0</v>
      </c>
      <c r="BV24" s="12"/>
      <c r="BW24" s="12" t="s">
        <v>562</v>
      </c>
      <c r="BX24" s="12" t="s">
        <v>914</v>
      </c>
      <c r="BY24" s="91">
        <v>1220115</v>
      </c>
      <c r="BZ24" s="75">
        <v>0</v>
      </c>
      <c r="CA24" s="95"/>
      <c r="CC24" s="12"/>
      <c r="CD24" s="12" t="s">
        <v>22</v>
      </c>
      <c r="CE24" s="12" t="s">
        <v>954</v>
      </c>
      <c r="CF24" s="12">
        <v>1220115</v>
      </c>
      <c r="CG24" s="75">
        <v>0</v>
      </c>
      <c r="CH24" s="95" t="str">
        <f t="shared" si="3"/>
        <v>{[ML][PC4006]-[1220115]:[0]}</v>
      </c>
      <c r="CI24" s="18" t="s">
        <v>955</v>
      </c>
    </row>
    <row r="25" spans="3:87" x14ac:dyDescent="0.3">
      <c r="C25" s="116"/>
      <c r="D25" s="12" t="s">
        <v>15</v>
      </c>
      <c r="E25" s="12" t="s">
        <v>113</v>
      </c>
      <c r="F25" s="16">
        <v>1251001</v>
      </c>
      <c r="G25" s="75">
        <v>0</v>
      </c>
      <c r="H25" s="75"/>
      <c r="I25" s="75"/>
      <c r="J25" s="75"/>
      <c r="K25" s="12" t="s">
        <v>16</v>
      </c>
      <c r="L25" s="9" t="s">
        <v>73</v>
      </c>
      <c r="M25" s="9" t="s">
        <v>76</v>
      </c>
      <c r="N25" s="16">
        <v>1251001</v>
      </c>
      <c r="O25" s="75">
        <v>0</v>
      </c>
      <c r="S25" s="11"/>
      <c r="AN25" s="9" t="s">
        <v>24</v>
      </c>
      <c r="AO25" s="12" t="s">
        <v>555</v>
      </c>
      <c r="AP25" s="3">
        <v>108</v>
      </c>
      <c r="BB25" s="9" t="s">
        <v>1211</v>
      </c>
      <c r="BC25" s="9" t="s">
        <v>1190</v>
      </c>
      <c r="BD25" t="s">
        <v>170</v>
      </c>
      <c r="BE25" t="s">
        <v>1212</v>
      </c>
      <c r="BF25" s="182">
        <v>1000</v>
      </c>
      <c r="BG25" s="182">
        <v>650</v>
      </c>
      <c r="BH25" s="75">
        <v>0</v>
      </c>
      <c r="BI25" s="75">
        <v>0</v>
      </c>
      <c r="BJ25" s="75">
        <v>0</v>
      </c>
      <c r="BK25" s="75">
        <v>0</v>
      </c>
      <c r="BL25" s="75">
        <v>0</v>
      </c>
      <c r="BM25" s="75">
        <v>0</v>
      </c>
      <c r="BN25" s="75">
        <v>0</v>
      </c>
      <c r="BO25" s="75">
        <v>0</v>
      </c>
      <c r="BV25" s="12"/>
      <c r="BW25" s="12" t="s">
        <v>562</v>
      </c>
      <c r="BX25" s="12" t="s">
        <v>902</v>
      </c>
      <c r="BY25" s="91">
        <v>1220115</v>
      </c>
      <c r="BZ25" s="75">
        <v>0</v>
      </c>
      <c r="CA25" s="95"/>
      <c r="CC25" s="12"/>
      <c r="CD25" s="12" t="s">
        <v>518</v>
      </c>
      <c r="CE25" s="12" t="s">
        <v>954</v>
      </c>
      <c r="CF25" s="12">
        <v>1220115</v>
      </c>
      <c r="CG25" s="75">
        <v>0</v>
      </c>
      <c r="CH25" s="95" t="str">
        <f t="shared" si="3"/>
        <v>{[CL][PC4006]-[1220115]:[0]}</v>
      </c>
      <c r="CI25" s="18" t="s">
        <v>955</v>
      </c>
    </row>
    <row r="26" spans="3:87" x14ac:dyDescent="0.3">
      <c r="C26" s="116"/>
      <c r="D26" s="12" t="s">
        <v>15</v>
      </c>
      <c r="E26" s="12" t="s">
        <v>118</v>
      </c>
      <c r="F26" s="16">
        <v>1251001</v>
      </c>
      <c r="G26" s="75">
        <v>0</v>
      </c>
      <c r="H26" s="75"/>
      <c r="I26" s="75"/>
      <c r="J26" s="75"/>
      <c r="K26" s="12" t="s">
        <v>16</v>
      </c>
      <c r="L26" s="9" t="s">
        <v>24</v>
      </c>
      <c r="M26" s="9" t="s">
        <v>76</v>
      </c>
      <c r="N26" s="16">
        <v>1251001</v>
      </c>
      <c r="O26" s="75">
        <v>0</v>
      </c>
      <c r="S26" s="11"/>
      <c r="AN26" s="9" t="s">
        <v>24</v>
      </c>
      <c r="AO26" s="12" t="s">
        <v>556</v>
      </c>
      <c r="AP26" s="3">
        <v>109</v>
      </c>
      <c r="BB26" s="9" t="s">
        <v>1208</v>
      </c>
      <c r="BC26" s="9" t="s">
        <v>1190</v>
      </c>
      <c r="BD26" t="s">
        <v>158</v>
      </c>
      <c r="BE26" t="s">
        <v>1213</v>
      </c>
      <c r="BF26" s="182">
        <v>1000</v>
      </c>
      <c r="BG26" s="182">
        <v>650</v>
      </c>
      <c r="BH26" s="75">
        <v>0</v>
      </c>
      <c r="BI26" s="75">
        <v>0</v>
      </c>
      <c r="BJ26" s="75">
        <v>0</v>
      </c>
      <c r="BK26" s="75">
        <v>0</v>
      </c>
      <c r="BL26" s="75">
        <v>0</v>
      </c>
      <c r="BM26" s="75">
        <v>0</v>
      </c>
      <c r="BN26" s="75">
        <v>0</v>
      </c>
      <c r="BO26" s="75">
        <v>0</v>
      </c>
      <c r="BV26" s="12"/>
      <c r="BW26" s="12" t="s">
        <v>561</v>
      </c>
      <c r="BX26" s="12" t="s">
        <v>1259</v>
      </c>
      <c r="BY26" s="91">
        <v>1220115</v>
      </c>
      <c r="BZ26" s="75">
        <v>0</v>
      </c>
      <c r="CA26" s="95"/>
      <c r="CC26" s="12"/>
      <c r="CD26" s="12" t="s">
        <v>16</v>
      </c>
      <c r="CE26" s="12" t="s">
        <v>954</v>
      </c>
      <c r="CF26" s="12">
        <v>1220115</v>
      </c>
      <c r="CG26" s="75">
        <v>0</v>
      </c>
      <c r="CH26" s="95" t="str">
        <f t="shared" si="3"/>
        <v>{[LL][PC4006]-[1220115]:[0]}</v>
      </c>
      <c r="CI26" s="18" t="s">
        <v>955</v>
      </c>
    </row>
    <row r="27" spans="3:87" x14ac:dyDescent="0.3">
      <c r="C27" s="116"/>
      <c r="D27" s="12" t="s">
        <v>15</v>
      </c>
      <c r="E27" s="12" t="s">
        <v>125</v>
      </c>
      <c r="F27" s="16">
        <v>1251001</v>
      </c>
      <c r="G27" s="75">
        <v>0</v>
      </c>
      <c r="H27" s="75"/>
      <c r="I27" s="75"/>
      <c r="J27" s="75"/>
      <c r="K27" s="12" t="s">
        <v>16</v>
      </c>
      <c r="L27" s="9" t="s">
        <v>52</v>
      </c>
      <c r="M27" s="9" t="s">
        <v>76</v>
      </c>
      <c r="N27" s="16">
        <v>1251001</v>
      </c>
      <c r="O27" s="75">
        <v>0</v>
      </c>
      <c r="S27" s="11"/>
      <c r="AN27" s="9" t="s">
        <v>24</v>
      </c>
      <c r="AO27" s="12" t="s">
        <v>425</v>
      </c>
      <c r="AP27" s="3">
        <v>110</v>
      </c>
      <c r="BB27" s="9" t="s">
        <v>1214</v>
      </c>
      <c r="BC27" s="9" t="s">
        <v>1190</v>
      </c>
      <c r="BD27" t="s">
        <v>156</v>
      </c>
      <c r="BE27" t="s">
        <v>1215</v>
      </c>
      <c r="BF27" s="182">
        <v>1000</v>
      </c>
      <c r="BG27" s="182">
        <v>650</v>
      </c>
      <c r="BH27" s="75">
        <v>0</v>
      </c>
      <c r="BI27" s="75">
        <v>0</v>
      </c>
      <c r="BJ27" s="75">
        <v>0</v>
      </c>
      <c r="BK27" s="75">
        <v>0</v>
      </c>
      <c r="BL27" s="75">
        <v>0</v>
      </c>
      <c r="BM27" s="75">
        <v>0</v>
      </c>
      <c r="BN27" s="75">
        <v>0</v>
      </c>
      <c r="BO27" s="75">
        <v>0</v>
      </c>
      <c r="BV27" s="12"/>
      <c r="BW27" s="12" t="s">
        <v>562</v>
      </c>
      <c r="BX27" s="12" t="s">
        <v>1259</v>
      </c>
      <c r="BY27" s="91">
        <v>1220115</v>
      </c>
      <c r="BZ27" s="75">
        <v>0</v>
      </c>
      <c r="CA27" s="95"/>
      <c r="CC27" s="12"/>
      <c r="CD27" s="12" t="s">
        <v>24</v>
      </c>
      <c r="CE27" s="12" t="s">
        <v>954</v>
      </c>
      <c r="CF27" s="12">
        <v>1220115</v>
      </c>
      <c r="CG27" s="75">
        <v>0</v>
      </c>
      <c r="CH27" s="95" t="str">
        <f t="shared" si="3"/>
        <v>{[LT][PC4006]-[1220115]:[0]}</v>
      </c>
      <c r="CI27" s="18" t="s">
        <v>955</v>
      </c>
    </row>
    <row r="28" spans="3:87" x14ac:dyDescent="0.3">
      <c r="C28" s="116"/>
      <c r="D28" s="12" t="s">
        <v>15</v>
      </c>
      <c r="E28" s="12" t="s">
        <v>116</v>
      </c>
      <c r="F28" s="16">
        <v>1251001</v>
      </c>
      <c r="G28" s="75">
        <v>0</v>
      </c>
      <c r="H28" s="75"/>
      <c r="I28" s="75"/>
      <c r="J28" s="75"/>
      <c r="K28" s="12" t="s">
        <v>17</v>
      </c>
      <c r="L28" s="9" t="s">
        <v>66</v>
      </c>
      <c r="M28" s="9" t="s">
        <v>43</v>
      </c>
      <c r="N28" s="16">
        <v>1251001</v>
      </c>
      <c r="O28" s="75">
        <v>0</v>
      </c>
      <c r="AN28" s="9" t="s">
        <v>24</v>
      </c>
      <c r="AO28" s="12" t="s">
        <v>558</v>
      </c>
      <c r="AP28" s="3">
        <v>111</v>
      </c>
      <c r="BB28" s="9" t="s">
        <v>1214</v>
      </c>
      <c r="BC28" s="9" t="s">
        <v>1190</v>
      </c>
      <c r="BD28" t="s">
        <v>168</v>
      </c>
      <c r="BE28" t="s">
        <v>1216</v>
      </c>
      <c r="BF28" s="182">
        <v>1000</v>
      </c>
      <c r="BG28" s="182">
        <v>650</v>
      </c>
      <c r="BH28" s="75">
        <v>0</v>
      </c>
      <c r="BI28" s="75">
        <v>0</v>
      </c>
      <c r="BJ28" s="75">
        <v>0</v>
      </c>
      <c r="BK28" s="75">
        <v>0</v>
      </c>
      <c r="BL28" s="75">
        <v>0</v>
      </c>
      <c r="BM28" s="75">
        <v>0</v>
      </c>
      <c r="BN28" s="75">
        <v>0</v>
      </c>
      <c r="BO28" s="75">
        <v>0</v>
      </c>
      <c r="BV28" s="12"/>
      <c r="BW28" s="12"/>
      <c r="BX28" s="12"/>
      <c r="BY28" s="77"/>
      <c r="BZ28" s="16"/>
      <c r="CC28" s="12"/>
      <c r="CD28" s="12" t="s">
        <v>23</v>
      </c>
      <c r="CE28" s="12" t="s">
        <v>954</v>
      </c>
      <c r="CF28" s="12">
        <v>1220115</v>
      </c>
      <c r="CG28" s="75">
        <v>0</v>
      </c>
      <c r="CH28" s="95" t="str">
        <f t="shared" si="3"/>
        <v>{[LI][PC4006]-[1220115]:[0]}</v>
      </c>
      <c r="CI28" s="18" t="s">
        <v>955</v>
      </c>
    </row>
    <row r="29" spans="3:87" x14ac:dyDescent="0.3">
      <c r="C29" s="116"/>
      <c r="D29" s="12" t="s">
        <v>15</v>
      </c>
      <c r="E29" s="12" t="s">
        <v>122</v>
      </c>
      <c r="F29" s="16">
        <v>1251001</v>
      </c>
      <c r="G29" s="75">
        <v>0</v>
      </c>
      <c r="H29" s="75"/>
      <c r="I29" s="75"/>
      <c r="J29" s="75"/>
      <c r="K29" s="12" t="s">
        <v>17</v>
      </c>
      <c r="L29" s="9" t="s">
        <v>73</v>
      </c>
      <c r="M29" s="9" t="s">
        <v>43</v>
      </c>
      <c r="N29" s="16">
        <v>1251001</v>
      </c>
      <c r="O29" s="75">
        <v>0</v>
      </c>
      <c r="AN29" s="9" t="s">
        <v>52</v>
      </c>
      <c r="AO29" s="12" t="s">
        <v>555</v>
      </c>
      <c r="AP29" s="3">
        <v>112</v>
      </c>
      <c r="BB29" s="9" t="s">
        <v>1217</v>
      </c>
      <c r="BC29" s="9" t="s">
        <v>1190</v>
      </c>
      <c r="BD29" t="s">
        <v>174</v>
      </c>
      <c r="BE29" t="s">
        <v>1218</v>
      </c>
      <c r="BF29" s="182">
        <v>1000</v>
      </c>
      <c r="BG29" s="182">
        <v>650</v>
      </c>
      <c r="BH29" s="75">
        <v>0</v>
      </c>
      <c r="BI29" s="75">
        <v>0</v>
      </c>
      <c r="BJ29" s="75">
        <v>0</v>
      </c>
      <c r="BK29" s="75">
        <v>0</v>
      </c>
      <c r="BL29" s="75">
        <v>0</v>
      </c>
      <c r="BM29" s="75">
        <v>0</v>
      </c>
      <c r="BN29" s="75">
        <v>0</v>
      </c>
      <c r="BO29" s="75">
        <v>0</v>
      </c>
      <c r="BV29" s="12"/>
      <c r="BW29" s="12"/>
      <c r="BX29" s="12"/>
      <c r="BY29" s="77"/>
      <c r="BZ29" s="16"/>
      <c r="CC29" s="12"/>
      <c r="CD29" s="12"/>
      <c r="CE29" s="12"/>
      <c r="CF29" s="16"/>
      <c r="CG29" s="16"/>
      <c r="CH29" s="95"/>
      <c r="CI29" s="18"/>
    </row>
    <row r="30" spans="3:87" x14ac:dyDescent="0.3">
      <c r="C30" s="116"/>
      <c r="D30" s="12" t="s">
        <v>15</v>
      </c>
      <c r="E30" s="12" t="s">
        <v>126</v>
      </c>
      <c r="F30" s="16">
        <v>1251001</v>
      </c>
      <c r="G30" s="75">
        <v>0</v>
      </c>
      <c r="H30" s="75"/>
      <c r="I30" s="75"/>
      <c r="J30" s="75"/>
      <c r="K30" s="12" t="s">
        <v>17</v>
      </c>
      <c r="L30" s="9" t="s">
        <v>24</v>
      </c>
      <c r="M30" s="9" t="s">
        <v>43</v>
      </c>
      <c r="N30" s="16">
        <v>1251001</v>
      </c>
      <c r="O30" s="75">
        <v>0</v>
      </c>
      <c r="AN30" s="9" t="s">
        <v>52</v>
      </c>
      <c r="AO30" s="12" t="s">
        <v>556</v>
      </c>
      <c r="AP30" s="3">
        <v>113</v>
      </c>
      <c r="BB30" s="9" t="s">
        <v>1214</v>
      </c>
      <c r="BC30" s="9" t="s">
        <v>1190</v>
      </c>
      <c r="BD30" t="s">
        <v>162</v>
      </c>
      <c r="BE30" t="s">
        <v>1219</v>
      </c>
      <c r="BF30" s="182">
        <v>1000</v>
      </c>
      <c r="BG30" s="182">
        <v>650</v>
      </c>
      <c r="BH30" s="75">
        <v>0</v>
      </c>
      <c r="BI30" s="75">
        <v>0</v>
      </c>
      <c r="BJ30" s="75">
        <v>0</v>
      </c>
      <c r="BK30" s="75">
        <v>0</v>
      </c>
      <c r="BL30" s="75">
        <v>0</v>
      </c>
      <c r="BM30" s="75">
        <v>0</v>
      </c>
      <c r="BN30" s="75">
        <v>0</v>
      </c>
      <c r="BO30" s="75">
        <v>0</v>
      </c>
      <c r="BV30" s="17"/>
      <c r="BW30" s="12"/>
      <c r="BX30" s="12"/>
      <c r="BY30" s="77"/>
      <c r="BZ30" s="16"/>
      <c r="CC30" s="12"/>
      <c r="CD30" s="12"/>
      <c r="CE30" s="12"/>
      <c r="CF30" s="16"/>
      <c r="CG30" s="16"/>
      <c r="CH30" s="95"/>
      <c r="CI30" s="18"/>
    </row>
    <row r="31" spans="3:87" x14ac:dyDescent="0.3">
      <c r="C31" s="116"/>
      <c r="D31" s="12" t="s">
        <v>15</v>
      </c>
      <c r="E31" s="12" t="s">
        <v>128</v>
      </c>
      <c r="F31" s="16">
        <v>1251001</v>
      </c>
      <c r="G31" s="75">
        <v>0</v>
      </c>
      <c r="H31" s="75"/>
      <c r="I31" s="75"/>
      <c r="J31" s="75"/>
      <c r="K31" s="12" t="s">
        <v>17</v>
      </c>
      <c r="L31" s="9" t="s">
        <v>52</v>
      </c>
      <c r="M31" s="9" t="s">
        <v>43</v>
      </c>
      <c r="N31" s="16">
        <v>1251001</v>
      </c>
      <c r="O31" s="75">
        <v>0</v>
      </c>
      <c r="AN31" s="9" t="s">
        <v>52</v>
      </c>
      <c r="AO31" s="12" t="s">
        <v>425</v>
      </c>
      <c r="AP31" s="3" t="s">
        <v>1360</v>
      </c>
      <c r="AQ31" s="3"/>
      <c r="BB31" t="s">
        <v>1183</v>
      </c>
      <c r="BC31" t="s">
        <v>1184</v>
      </c>
      <c r="BD31" t="s">
        <v>1185</v>
      </c>
      <c r="BE31" t="s">
        <v>1186</v>
      </c>
      <c r="BF31" t="s">
        <v>1187</v>
      </c>
      <c r="BG31" t="s">
        <v>1187</v>
      </c>
      <c r="BH31" t="s">
        <v>1188</v>
      </c>
      <c r="BI31" t="s">
        <v>1187</v>
      </c>
      <c r="BJ31" t="s">
        <v>1187</v>
      </c>
      <c r="BK31" t="s">
        <v>1187</v>
      </c>
      <c r="BL31" t="s">
        <v>1187</v>
      </c>
      <c r="BM31" t="s">
        <v>1188</v>
      </c>
      <c r="BN31" t="s">
        <v>1188</v>
      </c>
      <c r="BO31" t="s">
        <v>1188</v>
      </c>
      <c r="BV31" s="12"/>
      <c r="BW31" s="12"/>
      <c r="BX31" s="12"/>
      <c r="BY31" s="77"/>
      <c r="BZ31" s="16"/>
      <c r="CC31" s="17"/>
      <c r="CD31" s="12"/>
      <c r="CE31" s="12"/>
      <c r="CF31" s="16"/>
      <c r="CG31" s="16"/>
      <c r="CH31" s="95"/>
      <c r="CI31" s="18"/>
    </row>
    <row r="32" spans="3:87" x14ac:dyDescent="0.3">
      <c r="C32" s="116"/>
      <c r="D32" s="12" t="s">
        <v>15</v>
      </c>
      <c r="E32" s="12" t="s">
        <v>129</v>
      </c>
      <c r="F32" s="16">
        <v>1251001</v>
      </c>
      <c r="G32" s="75">
        <v>0</v>
      </c>
      <c r="H32" s="75"/>
      <c r="I32" s="75"/>
      <c r="J32" s="75"/>
      <c r="K32" s="12" t="s">
        <v>17</v>
      </c>
      <c r="L32" s="9" t="s">
        <v>66</v>
      </c>
      <c r="M32" s="9" t="s">
        <v>76</v>
      </c>
      <c r="N32" s="16">
        <v>1251001</v>
      </c>
      <c r="O32" s="75">
        <v>0</v>
      </c>
      <c r="AN32" s="9" t="s">
        <v>52</v>
      </c>
      <c r="AO32" s="12" t="s">
        <v>558</v>
      </c>
      <c r="AP32" s="3">
        <v>115</v>
      </c>
      <c r="AQ32" s="3"/>
      <c r="BD32" t="s">
        <v>1220</v>
      </c>
      <c r="BV32" s="12"/>
      <c r="BW32" s="12"/>
      <c r="BX32" s="12"/>
      <c r="BY32" s="77"/>
      <c r="BZ32" s="16"/>
      <c r="CC32" s="12"/>
      <c r="CD32" s="12"/>
      <c r="CE32" s="12"/>
      <c r="CF32" s="16"/>
      <c r="CG32" s="16"/>
      <c r="CH32" s="95"/>
      <c r="CI32" s="18"/>
    </row>
    <row r="33" spans="3:15" x14ac:dyDescent="0.3">
      <c r="C33" s="116"/>
      <c r="D33" s="12" t="s">
        <v>15</v>
      </c>
      <c r="E33" s="12" t="s">
        <v>131</v>
      </c>
      <c r="F33" s="16">
        <v>1251001</v>
      </c>
      <c r="G33" s="75">
        <v>0</v>
      </c>
      <c r="H33" s="75"/>
      <c r="I33" s="75"/>
      <c r="J33" s="75"/>
      <c r="K33" s="12" t="s">
        <v>17</v>
      </c>
      <c r="L33" s="9" t="s">
        <v>73</v>
      </c>
      <c r="M33" s="9" t="s">
        <v>76</v>
      </c>
      <c r="N33" s="16">
        <v>1251001</v>
      </c>
      <c r="O33" s="75">
        <v>0</v>
      </c>
    </row>
    <row r="34" spans="3:15" x14ac:dyDescent="0.3">
      <c r="C34" s="116"/>
      <c r="D34" s="12" t="s">
        <v>15</v>
      </c>
      <c r="E34" s="12" t="s">
        <v>203</v>
      </c>
      <c r="F34" s="16">
        <v>1251001</v>
      </c>
      <c r="G34" s="75">
        <v>0</v>
      </c>
      <c r="H34" s="75"/>
      <c r="I34" s="75"/>
      <c r="J34" s="75"/>
      <c r="K34" s="12" t="s">
        <v>17</v>
      </c>
      <c r="L34" s="9" t="s">
        <v>24</v>
      </c>
      <c r="M34" s="9" t="s">
        <v>76</v>
      </c>
      <c r="N34" s="16">
        <v>1251001</v>
      </c>
      <c r="O34" s="75">
        <v>0</v>
      </c>
    </row>
    <row r="35" spans="3:15" x14ac:dyDescent="0.3">
      <c r="C35" s="116"/>
      <c r="D35" s="12" t="s">
        <v>15</v>
      </c>
      <c r="E35" s="12" t="s">
        <v>187</v>
      </c>
      <c r="F35" s="16">
        <v>1251001</v>
      </c>
      <c r="G35" s="75">
        <v>0</v>
      </c>
      <c r="H35" s="75"/>
      <c r="I35" s="75"/>
      <c r="J35" s="75"/>
      <c r="K35" s="12" t="s">
        <v>17</v>
      </c>
      <c r="L35" s="9" t="s">
        <v>52</v>
      </c>
      <c r="M35" s="9" t="s">
        <v>76</v>
      </c>
      <c r="N35" s="16">
        <v>1251001</v>
      </c>
      <c r="O35" s="75">
        <v>0</v>
      </c>
    </row>
    <row r="36" spans="3:15" x14ac:dyDescent="0.3">
      <c r="C36" s="116"/>
      <c r="D36" s="12" t="s">
        <v>15</v>
      </c>
      <c r="E36" s="12" t="s">
        <v>190</v>
      </c>
      <c r="F36" s="16">
        <v>1251001</v>
      </c>
      <c r="G36" s="75">
        <v>0</v>
      </c>
      <c r="H36" s="75"/>
      <c r="I36" s="75"/>
      <c r="J36" s="75"/>
      <c r="K36" s="12" t="s">
        <v>18</v>
      </c>
      <c r="L36" s="9" t="s">
        <v>66</v>
      </c>
      <c r="M36" s="9" t="s">
        <v>177</v>
      </c>
      <c r="N36" s="16">
        <v>1251001</v>
      </c>
      <c r="O36" s="75">
        <v>0</v>
      </c>
    </row>
    <row r="37" spans="3:15" x14ac:dyDescent="0.3">
      <c r="C37" s="116"/>
      <c r="D37" s="12" t="s">
        <v>15</v>
      </c>
      <c r="E37" s="12" t="s">
        <v>195</v>
      </c>
      <c r="F37" s="16">
        <v>1251001</v>
      </c>
      <c r="G37" s="75">
        <v>0</v>
      </c>
      <c r="H37" s="75"/>
      <c r="I37" s="75"/>
      <c r="J37" s="75"/>
      <c r="K37" s="12" t="s">
        <v>18</v>
      </c>
      <c r="L37" s="9" t="s">
        <v>73</v>
      </c>
      <c r="M37" s="9" t="s">
        <v>177</v>
      </c>
      <c r="N37" s="16">
        <v>1251001</v>
      </c>
      <c r="O37" s="75">
        <v>0</v>
      </c>
    </row>
    <row r="38" spans="3:15" x14ac:dyDescent="0.3">
      <c r="C38" s="116"/>
      <c r="D38" s="12" t="s">
        <v>15</v>
      </c>
      <c r="E38" s="12" t="s">
        <v>191</v>
      </c>
      <c r="F38" s="16">
        <v>1251001</v>
      </c>
      <c r="G38" s="75">
        <v>0</v>
      </c>
      <c r="H38" s="75"/>
      <c r="I38" s="75"/>
      <c r="J38" s="75"/>
      <c r="K38" s="12" t="s">
        <v>18</v>
      </c>
      <c r="L38" s="9" t="s">
        <v>24</v>
      </c>
      <c r="M38" s="9" t="s">
        <v>177</v>
      </c>
      <c r="N38" s="16">
        <v>1251001</v>
      </c>
      <c r="O38" s="75">
        <v>0</v>
      </c>
    </row>
    <row r="39" spans="3:15" x14ac:dyDescent="0.3">
      <c r="C39" s="116"/>
      <c r="D39" s="12" t="s">
        <v>15</v>
      </c>
      <c r="E39" s="12" t="s">
        <v>196</v>
      </c>
      <c r="F39" s="16">
        <v>1251001</v>
      </c>
      <c r="G39" s="75">
        <v>0</v>
      </c>
      <c r="H39" s="75"/>
      <c r="I39" s="75"/>
      <c r="J39" s="75"/>
      <c r="K39" s="12" t="s">
        <v>18</v>
      </c>
      <c r="L39" s="9" t="s">
        <v>52</v>
      </c>
      <c r="M39" s="9" t="s">
        <v>177</v>
      </c>
      <c r="N39" s="16">
        <v>1251001</v>
      </c>
      <c r="O39" s="75">
        <v>0</v>
      </c>
    </row>
    <row r="40" spans="3:15" x14ac:dyDescent="0.3">
      <c r="C40" s="116"/>
      <c r="D40" s="12" t="s">
        <v>15</v>
      </c>
      <c r="E40" s="12" t="s">
        <v>197</v>
      </c>
      <c r="F40" s="16">
        <v>1251001</v>
      </c>
      <c r="G40" s="75">
        <v>0</v>
      </c>
      <c r="H40" s="75"/>
      <c r="I40" s="75"/>
      <c r="J40" s="75"/>
      <c r="K40" s="12" t="s">
        <v>18</v>
      </c>
      <c r="L40" s="9" t="s">
        <v>66</v>
      </c>
      <c r="M40" s="9" t="s">
        <v>188</v>
      </c>
      <c r="N40" s="16">
        <v>1251001</v>
      </c>
      <c r="O40" s="75">
        <v>0</v>
      </c>
    </row>
    <row r="41" spans="3:15" x14ac:dyDescent="0.3">
      <c r="C41" s="116"/>
      <c r="D41" s="12" t="s">
        <v>15</v>
      </c>
      <c r="E41" s="12" t="s">
        <v>186</v>
      </c>
      <c r="F41" s="16">
        <v>1251001</v>
      </c>
      <c r="G41" s="75">
        <v>0</v>
      </c>
      <c r="H41" s="75"/>
      <c r="I41" s="75"/>
      <c r="J41" s="75"/>
      <c r="K41" s="12" t="s">
        <v>18</v>
      </c>
      <c r="L41" s="9" t="s">
        <v>73</v>
      </c>
      <c r="M41" s="9" t="s">
        <v>188</v>
      </c>
      <c r="N41" s="16">
        <v>1251001</v>
      </c>
      <c r="O41" s="75">
        <v>0</v>
      </c>
    </row>
    <row r="42" spans="3:15" x14ac:dyDescent="0.3">
      <c r="C42" s="116"/>
      <c r="D42" s="12" t="s">
        <v>15</v>
      </c>
      <c r="E42" s="12" t="s">
        <v>189</v>
      </c>
      <c r="F42" s="16">
        <v>1251001</v>
      </c>
      <c r="G42" s="75">
        <v>0</v>
      </c>
      <c r="H42" s="75"/>
      <c r="I42" s="75"/>
      <c r="J42" s="75"/>
      <c r="K42" s="12" t="s">
        <v>18</v>
      </c>
      <c r="L42" s="9" t="s">
        <v>24</v>
      </c>
      <c r="M42" s="9" t="s">
        <v>188</v>
      </c>
      <c r="N42" s="16">
        <v>1251001</v>
      </c>
      <c r="O42" s="75">
        <v>0</v>
      </c>
    </row>
    <row r="43" spans="3:15" x14ac:dyDescent="0.3">
      <c r="C43" s="116"/>
      <c r="D43" s="12" t="s">
        <v>15</v>
      </c>
      <c r="E43" s="12" t="s">
        <v>193</v>
      </c>
      <c r="F43" s="16">
        <v>1251001</v>
      </c>
      <c r="G43" s="75">
        <v>0</v>
      </c>
      <c r="H43" s="75"/>
      <c r="I43" s="75"/>
      <c r="J43" s="75"/>
      <c r="K43" s="12" t="s">
        <v>18</v>
      </c>
      <c r="L43" s="9" t="s">
        <v>52</v>
      </c>
      <c r="M43" s="9" t="s">
        <v>188</v>
      </c>
      <c r="N43" s="16">
        <v>1251001</v>
      </c>
      <c r="O43" s="75">
        <v>0</v>
      </c>
    </row>
    <row r="44" spans="3:15" x14ac:dyDescent="0.3">
      <c r="C44" s="116"/>
      <c r="D44" s="12" t="s">
        <v>15</v>
      </c>
      <c r="E44" s="12" t="s">
        <v>198</v>
      </c>
      <c r="F44" s="16">
        <v>1251001</v>
      </c>
      <c r="G44" s="75">
        <v>0</v>
      </c>
      <c r="H44" s="75"/>
      <c r="I44" s="75"/>
      <c r="J44" s="75"/>
      <c r="K44" s="12" t="s">
        <v>19</v>
      </c>
      <c r="L44" s="9" t="s">
        <v>66</v>
      </c>
      <c r="M44" s="9" t="s">
        <v>43</v>
      </c>
      <c r="N44" s="16">
        <v>1251001</v>
      </c>
      <c r="O44" s="75">
        <v>0</v>
      </c>
    </row>
    <row r="45" spans="3:15" x14ac:dyDescent="0.3">
      <c r="C45" s="116"/>
      <c r="D45" s="12" t="s">
        <v>15</v>
      </c>
      <c r="E45" s="12" t="s">
        <v>194</v>
      </c>
      <c r="F45" s="16">
        <v>1251001</v>
      </c>
      <c r="G45" s="75">
        <v>0</v>
      </c>
      <c r="H45" s="75"/>
      <c r="I45" s="75"/>
      <c r="J45" s="75"/>
      <c r="K45" s="12" t="s">
        <v>19</v>
      </c>
      <c r="L45" s="9" t="s">
        <v>73</v>
      </c>
      <c r="M45" s="9" t="s">
        <v>43</v>
      </c>
      <c r="N45" s="16">
        <v>1251001</v>
      </c>
      <c r="O45" s="75">
        <v>0</v>
      </c>
    </row>
    <row r="46" spans="3:15" x14ac:dyDescent="0.3">
      <c r="C46" s="116"/>
      <c r="D46" s="12" t="s">
        <v>15</v>
      </c>
      <c r="E46" s="12" t="s">
        <v>144</v>
      </c>
      <c r="F46" s="16">
        <v>1251001</v>
      </c>
      <c r="G46" s="75">
        <v>0</v>
      </c>
      <c r="H46" s="75"/>
      <c r="I46" s="75"/>
      <c r="J46" s="75"/>
      <c r="K46" s="12" t="s">
        <v>19</v>
      </c>
      <c r="L46" s="9" t="s">
        <v>24</v>
      </c>
      <c r="M46" s="9" t="s">
        <v>43</v>
      </c>
      <c r="N46" s="16">
        <v>1251001</v>
      </c>
      <c r="O46" s="75">
        <v>0</v>
      </c>
    </row>
    <row r="47" spans="3:15" x14ac:dyDescent="0.3">
      <c r="C47" s="116"/>
      <c r="D47" s="12" t="s">
        <v>15</v>
      </c>
      <c r="E47" s="12" t="s">
        <v>148</v>
      </c>
      <c r="F47" s="16">
        <v>1251001</v>
      </c>
      <c r="G47" s="75">
        <v>0</v>
      </c>
      <c r="H47" s="75"/>
      <c r="I47" s="75"/>
      <c r="J47" s="75"/>
      <c r="K47" s="12" t="s">
        <v>19</v>
      </c>
      <c r="L47" s="9" t="s">
        <v>52</v>
      </c>
      <c r="M47" s="9" t="s">
        <v>43</v>
      </c>
      <c r="N47" s="16">
        <v>1251001</v>
      </c>
      <c r="O47" s="75">
        <v>0</v>
      </c>
    </row>
    <row r="48" spans="3:15" x14ac:dyDescent="0.3">
      <c r="C48" s="116"/>
      <c r="D48" s="12" t="s">
        <v>15</v>
      </c>
      <c r="E48" s="12" t="s">
        <v>157</v>
      </c>
      <c r="F48" s="16">
        <v>1251001</v>
      </c>
      <c r="G48" s="75">
        <v>0</v>
      </c>
      <c r="H48" s="75"/>
      <c r="I48" s="75"/>
      <c r="J48" s="75"/>
      <c r="K48" s="12" t="s">
        <v>19</v>
      </c>
      <c r="L48" s="9" t="s">
        <v>66</v>
      </c>
      <c r="M48" s="9" t="s">
        <v>76</v>
      </c>
      <c r="N48" s="16">
        <v>1251001</v>
      </c>
      <c r="O48" s="75">
        <v>0</v>
      </c>
    </row>
    <row r="49" spans="3:15" x14ac:dyDescent="0.3">
      <c r="C49" s="116"/>
      <c r="D49" s="12" t="s">
        <v>15</v>
      </c>
      <c r="E49" s="12" t="s">
        <v>146</v>
      </c>
      <c r="F49" s="16">
        <v>1251001</v>
      </c>
      <c r="G49" s="75">
        <v>0</v>
      </c>
      <c r="H49" s="75"/>
      <c r="I49" s="75"/>
      <c r="J49" s="75"/>
      <c r="K49" s="12" t="s">
        <v>19</v>
      </c>
      <c r="L49" s="9" t="s">
        <v>73</v>
      </c>
      <c r="M49" s="9" t="s">
        <v>76</v>
      </c>
      <c r="N49" s="16">
        <v>1251001</v>
      </c>
      <c r="O49" s="75">
        <v>0</v>
      </c>
    </row>
    <row r="50" spans="3:15" x14ac:dyDescent="0.3">
      <c r="C50" s="116"/>
      <c r="D50" s="12" t="s">
        <v>15</v>
      </c>
      <c r="E50" s="12" t="s">
        <v>149</v>
      </c>
      <c r="F50" s="16">
        <v>1251001</v>
      </c>
      <c r="G50" s="75">
        <v>0</v>
      </c>
      <c r="H50" s="75"/>
      <c r="I50" s="75"/>
      <c r="J50" s="75"/>
      <c r="K50" s="12" t="s">
        <v>19</v>
      </c>
      <c r="L50" s="9" t="s">
        <v>24</v>
      </c>
      <c r="M50" s="9" t="s">
        <v>76</v>
      </c>
      <c r="N50" s="16">
        <v>1251001</v>
      </c>
      <c r="O50" s="75">
        <v>0</v>
      </c>
    </row>
    <row r="51" spans="3:15" x14ac:dyDescent="0.3">
      <c r="C51" s="116"/>
      <c r="D51" s="12" t="s">
        <v>15</v>
      </c>
      <c r="E51" s="12" t="s">
        <v>163</v>
      </c>
      <c r="F51" s="16">
        <v>1251001</v>
      </c>
      <c r="G51" s="75">
        <v>0</v>
      </c>
      <c r="H51" s="75"/>
      <c r="I51" s="75"/>
      <c r="J51" s="75"/>
      <c r="K51" s="12" t="s">
        <v>19</v>
      </c>
      <c r="L51" s="9" t="s">
        <v>52</v>
      </c>
      <c r="M51" s="9" t="s">
        <v>76</v>
      </c>
      <c r="N51" s="16">
        <v>1251001</v>
      </c>
      <c r="O51" s="75">
        <v>0</v>
      </c>
    </row>
    <row r="52" spans="3:15" x14ac:dyDescent="0.3">
      <c r="C52" s="116"/>
      <c r="D52" s="12" t="s">
        <v>15</v>
      </c>
      <c r="E52" s="12" t="s">
        <v>150</v>
      </c>
      <c r="F52" s="16">
        <v>1251001</v>
      </c>
      <c r="G52" s="75">
        <v>0</v>
      </c>
      <c r="H52" s="75"/>
      <c r="I52" s="75"/>
      <c r="J52" s="75"/>
      <c r="K52" s="75"/>
      <c r="L52" s="75"/>
      <c r="M52" s="75"/>
      <c r="N52" s="75"/>
      <c r="O52" s="75"/>
    </row>
    <row r="53" spans="3:15" x14ac:dyDescent="0.3">
      <c r="C53" s="116"/>
      <c r="D53" s="12" t="s">
        <v>15</v>
      </c>
      <c r="E53" s="12" t="s">
        <v>169</v>
      </c>
      <c r="F53" s="16">
        <v>1251001</v>
      </c>
      <c r="G53" s="75">
        <v>0</v>
      </c>
      <c r="H53" s="75"/>
      <c r="I53" s="75"/>
      <c r="J53" s="75"/>
      <c r="K53" s="75"/>
      <c r="L53" s="75"/>
      <c r="M53" s="75"/>
      <c r="N53" s="75"/>
      <c r="O53" s="75"/>
    </row>
    <row r="54" spans="3:15" x14ac:dyDescent="0.3">
      <c r="C54" s="116"/>
      <c r="D54" s="12" t="s">
        <v>15</v>
      </c>
      <c r="E54" s="12" t="s">
        <v>178</v>
      </c>
      <c r="F54" s="16">
        <v>1251001</v>
      </c>
      <c r="G54" s="75">
        <v>0</v>
      </c>
      <c r="H54" s="75"/>
      <c r="I54" s="75"/>
      <c r="J54" s="75"/>
      <c r="K54" s="75"/>
      <c r="L54" s="75"/>
      <c r="M54" s="75"/>
      <c r="N54" s="75"/>
      <c r="O54" s="75"/>
    </row>
    <row r="55" spans="3:15" x14ac:dyDescent="0.3">
      <c r="C55" s="116"/>
      <c r="D55" s="12" t="s">
        <v>15</v>
      </c>
      <c r="E55" s="12" t="s">
        <v>175</v>
      </c>
      <c r="F55" s="16">
        <v>1251001</v>
      </c>
      <c r="G55" s="75">
        <v>0</v>
      </c>
      <c r="H55" s="75"/>
      <c r="I55" s="75"/>
      <c r="J55" s="75"/>
      <c r="K55" s="75"/>
      <c r="L55" s="75"/>
      <c r="M55" s="75"/>
      <c r="N55" s="75"/>
      <c r="O55" s="75"/>
    </row>
    <row r="56" spans="3:15" x14ac:dyDescent="0.3">
      <c r="C56" s="116"/>
      <c r="D56" s="12" t="s">
        <v>15</v>
      </c>
      <c r="E56" s="12" t="s">
        <v>179</v>
      </c>
      <c r="F56" s="16">
        <v>1251001</v>
      </c>
      <c r="G56" s="75">
        <v>0</v>
      </c>
      <c r="H56" s="75"/>
      <c r="I56" s="75"/>
      <c r="J56" s="75"/>
      <c r="K56" s="231"/>
      <c r="L56" s="231"/>
      <c r="M56" s="232"/>
      <c r="N56" s="233"/>
      <c r="O56" s="234"/>
    </row>
    <row r="57" spans="3:15" x14ac:dyDescent="0.3">
      <c r="C57" s="116"/>
      <c r="D57" s="12" t="s">
        <v>15</v>
      </c>
      <c r="E57" s="72" t="s">
        <v>181</v>
      </c>
      <c r="F57" s="16">
        <v>1251001</v>
      </c>
      <c r="G57" s="75">
        <v>0</v>
      </c>
      <c r="H57" s="75"/>
      <c r="I57" s="75"/>
      <c r="J57" s="75"/>
      <c r="K57" s="231"/>
      <c r="L57" s="231"/>
      <c r="M57" s="232"/>
      <c r="N57" s="233"/>
      <c r="O57" s="234"/>
    </row>
    <row r="58" spans="3:15" x14ac:dyDescent="0.3">
      <c r="C58" s="116"/>
      <c r="D58" s="12" t="s">
        <v>15</v>
      </c>
      <c r="E58" s="12" t="s">
        <v>176</v>
      </c>
      <c r="F58" s="16">
        <v>1251001</v>
      </c>
      <c r="G58" s="75">
        <v>0</v>
      </c>
      <c r="H58" s="75"/>
      <c r="I58" s="75"/>
      <c r="J58" s="75"/>
      <c r="K58" s="231"/>
      <c r="L58" s="231"/>
      <c r="M58" s="232"/>
      <c r="N58" s="233"/>
      <c r="O58" s="234"/>
    </row>
    <row r="59" spans="3:15" x14ac:dyDescent="0.3">
      <c r="C59" s="116"/>
      <c r="D59" s="12" t="s">
        <v>15</v>
      </c>
      <c r="E59" s="12" t="s">
        <v>180</v>
      </c>
      <c r="F59" s="16">
        <v>1251001</v>
      </c>
      <c r="G59" s="75">
        <v>0</v>
      </c>
      <c r="H59" s="75"/>
      <c r="I59" s="75"/>
      <c r="J59" s="75"/>
      <c r="K59" s="231"/>
      <c r="L59" s="231"/>
      <c r="M59" s="232"/>
      <c r="N59" s="233"/>
      <c r="O59" s="234"/>
    </row>
    <row r="60" spans="3:15" x14ac:dyDescent="0.3">
      <c r="C60" s="116"/>
      <c r="D60" s="12" t="s">
        <v>15</v>
      </c>
      <c r="E60" s="12" t="s">
        <v>182</v>
      </c>
      <c r="F60" s="16">
        <v>1251001</v>
      </c>
      <c r="G60" s="75">
        <v>0</v>
      </c>
      <c r="H60" s="75"/>
      <c r="I60" s="75"/>
      <c r="J60" s="75"/>
      <c r="K60" s="231"/>
      <c r="L60" s="231"/>
      <c r="M60" s="232"/>
      <c r="N60" s="233"/>
      <c r="O60" s="234"/>
    </row>
    <row r="61" spans="3:15" x14ac:dyDescent="0.3">
      <c r="C61" s="116"/>
      <c r="D61" s="12" t="s">
        <v>15</v>
      </c>
      <c r="E61" s="72" t="s">
        <v>183</v>
      </c>
      <c r="F61" s="16">
        <v>1251001</v>
      </c>
      <c r="G61" s="75">
        <v>0</v>
      </c>
      <c r="H61" s="75"/>
      <c r="I61" s="75"/>
      <c r="J61" s="75"/>
      <c r="K61" s="231"/>
      <c r="L61" s="231"/>
      <c r="M61" s="232"/>
      <c r="N61" s="233"/>
      <c r="O61" s="234"/>
    </row>
    <row r="62" spans="3:15" x14ac:dyDescent="0.3">
      <c r="C62" s="116"/>
      <c r="D62" s="12" t="s">
        <v>15</v>
      </c>
      <c r="E62" s="12" t="s">
        <v>184</v>
      </c>
      <c r="F62" s="16">
        <v>1251001</v>
      </c>
      <c r="G62" s="75">
        <v>0</v>
      </c>
      <c r="H62" s="75"/>
      <c r="I62" s="75"/>
      <c r="J62" s="75"/>
      <c r="K62" s="231"/>
      <c r="L62" s="231"/>
      <c r="M62" s="232"/>
      <c r="N62" s="233"/>
      <c r="O62" s="234"/>
    </row>
    <row r="63" spans="3:15" x14ac:dyDescent="0.3">
      <c r="C63" s="116"/>
      <c r="D63" s="12" t="s">
        <v>15</v>
      </c>
      <c r="E63" s="12" t="s">
        <v>205</v>
      </c>
      <c r="F63" s="16">
        <v>1251001</v>
      </c>
      <c r="G63" s="75">
        <v>0</v>
      </c>
      <c r="H63" s="75"/>
      <c r="I63" s="75"/>
      <c r="J63" s="75"/>
      <c r="K63" s="231"/>
      <c r="L63" s="231"/>
      <c r="M63" s="232"/>
      <c r="N63" s="233"/>
      <c r="O63" s="234"/>
    </row>
    <row r="64" spans="3:15" x14ac:dyDescent="0.3">
      <c r="C64" s="116"/>
      <c r="D64" s="12" t="s">
        <v>15</v>
      </c>
      <c r="E64" s="12" t="s">
        <v>206</v>
      </c>
      <c r="F64" s="16">
        <v>1251001</v>
      </c>
      <c r="G64" s="75">
        <v>0</v>
      </c>
      <c r="H64" s="75"/>
      <c r="I64" s="75"/>
      <c r="J64" s="75"/>
      <c r="K64" s="231"/>
      <c r="L64" s="232"/>
      <c r="M64" s="232"/>
      <c r="N64" s="233"/>
      <c r="O64" s="234"/>
    </row>
    <row r="65" spans="3:9" x14ac:dyDescent="0.3">
      <c r="C65" s="116"/>
      <c r="D65" s="12" t="s">
        <v>15</v>
      </c>
      <c r="E65" s="12" t="s">
        <v>207</v>
      </c>
      <c r="F65" s="16">
        <v>1251001</v>
      </c>
      <c r="G65" s="75">
        <v>0</v>
      </c>
      <c r="H65" s="75"/>
      <c r="I65" s="75"/>
    </row>
    <row r="66" spans="3:9" x14ac:dyDescent="0.3">
      <c r="C66" s="116"/>
      <c r="D66" s="12" t="s">
        <v>15</v>
      </c>
      <c r="E66" s="12" t="s">
        <v>137</v>
      </c>
      <c r="F66" s="16">
        <v>1251001</v>
      </c>
      <c r="G66" s="75">
        <v>0</v>
      </c>
      <c r="H66" s="75"/>
      <c r="I66" s="75"/>
    </row>
    <row r="67" spans="3:9" x14ac:dyDescent="0.3">
      <c r="C67" s="116"/>
      <c r="D67" s="12" t="s">
        <v>15</v>
      </c>
      <c r="E67" s="12" t="s">
        <v>132</v>
      </c>
      <c r="F67" s="16">
        <v>1251001</v>
      </c>
      <c r="G67" s="75">
        <v>0</v>
      </c>
      <c r="H67" s="75"/>
      <c r="I67" s="75"/>
    </row>
    <row r="68" spans="3:9" x14ac:dyDescent="0.3">
      <c r="C68" s="116"/>
      <c r="D68" s="12" t="s">
        <v>15</v>
      </c>
      <c r="E68" s="12" t="s">
        <v>134</v>
      </c>
      <c r="F68" s="16">
        <v>1251001</v>
      </c>
      <c r="G68" s="75">
        <v>0</v>
      </c>
      <c r="H68" s="75"/>
      <c r="I68" s="75"/>
    </row>
    <row r="69" spans="3:9" x14ac:dyDescent="0.3">
      <c r="C69" s="116"/>
      <c r="D69" s="12" t="s">
        <v>15</v>
      </c>
      <c r="E69" s="12" t="s">
        <v>138</v>
      </c>
      <c r="F69" s="16">
        <v>1251001</v>
      </c>
      <c r="G69" s="75">
        <v>0</v>
      </c>
      <c r="H69" s="75"/>
      <c r="I69" s="75"/>
    </row>
    <row r="70" spans="3:9" x14ac:dyDescent="0.3">
      <c r="C70" s="116"/>
      <c r="D70" s="12" t="s">
        <v>15</v>
      </c>
      <c r="E70" s="12" t="s">
        <v>139</v>
      </c>
      <c r="F70" s="16">
        <v>1251001</v>
      </c>
      <c r="G70" s="75">
        <v>0</v>
      </c>
      <c r="H70" s="75"/>
      <c r="I70" s="75"/>
    </row>
    <row r="71" spans="3:9" x14ac:dyDescent="0.3">
      <c r="C71" s="116"/>
      <c r="D71" s="12" t="s">
        <v>15</v>
      </c>
      <c r="E71" s="12" t="s">
        <v>141</v>
      </c>
      <c r="F71" s="16">
        <v>1251001</v>
      </c>
      <c r="G71" s="75">
        <v>0</v>
      </c>
      <c r="H71" s="75"/>
      <c r="I71" s="75"/>
    </row>
    <row r="72" spans="3:9" x14ac:dyDescent="0.3">
      <c r="C72" s="116"/>
      <c r="D72" s="12" t="s">
        <v>15</v>
      </c>
      <c r="E72" s="12" t="s">
        <v>133</v>
      </c>
      <c r="F72" s="16">
        <v>1251001</v>
      </c>
      <c r="G72" s="75">
        <v>0</v>
      </c>
      <c r="H72" s="75"/>
      <c r="I72" s="75"/>
    </row>
    <row r="73" spans="3:9" x14ac:dyDescent="0.3">
      <c r="C73" s="116"/>
      <c r="D73" s="12" t="s">
        <v>15</v>
      </c>
      <c r="E73" s="12" t="s">
        <v>136</v>
      </c>
      <c r="F73" s="16">
        <v>1251001</v>
      </c>
      <c r="G73" s="75">
        <v>0</v>
      </c>
      <c r="H73" s="75"/>
      <c r="I73" s="75"/>
    </row>
    <row r="74" spans="3:9" x14ac:dyDescent="0.3">
      <c r="C74" s="116"/>
      <c r="D74" s="12" t="s">
        <v>15</v>
      </c>
      <c r="E74" s="12" t="s">
        <v>140</v>
      </c>
      <c r="F74" s="16">
        <v>1251001</v>
      </c>
      <c r="G74" s="75">
        <v>0</v>
      </c>
      <c r="H74" s="75"/>
      <c r="I74" s="75"/>
    </row>
    <row r="75" spans="3:9" x14ac:dyDescent="0.3">
      <c r="C75" s="116"/>
      <c r="D75" s="12" t="s">
        <v>15</v>
      </c>
      <c r="E75" s="12" t="s">
        <v>143</v>
      </c>
      <c r="F75" s="16">
        <v>1251001</v>
      </c>
      <c r="G75" s="75">
        <v>0</v>
      </c>
      <c r="H75" s="75"/>
      <c r="I75" s="75"/>
    </row>
    <row r="76" spans="3:9" x14ac:dyDescent="0.3">
      <c r="C76" s="116"/>
      <c r="D76" s="12" t="s">
        <v>15</v>
      </c>
      <c r="E76" s="12" t="s">
        <v>147</v>
      </c>
      <c r="F76" s="16">
        <v>1251001</v>
      </c>
      <c r="G76" s="75">
        <v>0</v>
      </c>
      <c r="H76" s="75"/>
      <c r="I76" s="75"/>
    </row>
    <row r="77" spans="3:9" x14ac:dyDescent="0.3">
      <c r="C77" s="116"/>
      <c r="D77" s="12" t="s">
        <v>15</v>
      </c>
      <c r="E77" s="12" t="s">
        <v>151</v>
      </c>
      <c r="F77" s="16">
        <v>1251001</v>
      </c>
      <c r="G77" s="75">
        <v>0</v>
      </c>
      <c r="H77" s="75"/>
      <c r="I77" s="75"/>
    </row>
    <row r="78" spans="3:9" x14ac:dyDescent="0.3">
      <c r="C78" s="116"/>
      <c r="D78" s="12" t="s">
        <v>16</v>
      </c>
      <c r="E78" s="12" t="s">
        <v>45</v>
      </c>
      <c r="F78" s="16">
        <v>1251001</v>
      </c>
      <c r="G78" s="75">
        <v>0</v>
      </c>
      <c r="H78" s="75"/>
      <c r="I78" s="75"/>
    </row>
    <row r="79" spans="3:9" x14ac:dyDescent="0.3">
      <c r="C79" s="116"/>
      <c r="D79" s="12" t="s">
        <v>16</v>
      </c>
      <c r="E79" s="12" t="s">
        <v>54</v>
      </c>
      <c r="F79" s="16">
        <v>1251001</v>
      </c>
      <c r="G79" s="75">
        <v>0</v>
      </c>
      <c r="H79" s="75"/>
      <c r="I79" s="75"/>
    </row>
    <row r="80" spans="3:9" x14ac:dyDescent="0.3">
      <c r="C80" s="116"/>
      <c r="D80" s="12" t="s">
        <v>16</v>
      </c>
      <c r="E80" s="12" t="s">
        <v>67</v>
      </c>
      <c r="F80" s="16">
        <v>1251001</v>
      </c>
      <c r="G80" s="75">
        <v>0</v>
      </c>
      <c r="H80" s="75"/>
      <c r="I80" s="75"/>
    </row>
    <row r="81" spans="3:9" x14ac:dyDescent="0.3">
      <c r="C81" s="116"/>
      <c r="D81" s="12" t="s">
        <v>16</v>
      </c>
      <c r="E81" s="12" t="s">
        <v>83</v>
      </c>
      <c r="F81" s="16">
        <v>1251001</v>
      </c>
      <c r="G81" s="75">
        <v>0</v>
      </c>
      <c r="H81" s="75"/>
      <c r="I81" s="75"/>
    </row>
    <row r="82" spans="3:9" x14ac:dyDescent="0.3">
      <c r="C82" s="116"/>
      <c r="D82" s="12" t="s">
        <v>16</v>
      </c>
      <c r="E82" s="12" t="s">
        <v>95</v>
      </c>
      <c r="F82" s="16">
        <v>1251001</v>
      </c>
      <c r="G82" s="75">
        <v>0</v>
      </c>
      <c r="H82" s="75"/>
      <c r="I82" s="75"/>
    </row>
    <row r="83" spans="3:9" x14ac:dyDescent="0.3">
      <c r="C83" s="116"/>
      <c r="D83" s="12" t="s">
        <v>16</v>
      </c>
      <c r="E83" s="12" t="s">
        <v>49</v>
      </c>
      <c r="F83" s="16">
        <v>1251001</v>
      </c>
      <c r="G83" s="75">
        <v>0</v>
      </c>
      <c r="H83" s="75"/>
      <c r="I83" s="75"/>
    </row>
    <row r="84" spans="3:9" x14ac:dyDescent="0.3">
      <c r="C84" s="116"/>
      <c r="D84" s="12" t="s">
        <v>16</v>
      </c>
      <c r="E84" s="12" t="s">
        <v>58</v>
      </c>
      <c r="F84" s="16">
        <v>1251001</v>
      </c>
      <c r="G84" s="75">
        <v>0</v>
      </c>
      <c r="H84" s="75"/>
      <c r="I84" s="75"/>
    </row>
    <row r="85" spans="3:9" x14ac:dyDescent="0.3">
      <c r="C85" s="116"/>
      <c r="D85" s="12" t="s">
        <v>16</v>
      </c>
      <c r="E85" s="12" t="s">
        <v>71</v>
      </c>
      <c r="F85" s="16">
        <v>1251001</v>
      </c>
      <c r="G85" s="75">
        <v>0</v>
      </c>
      <c r="H85" s="75"/>
      <c r="I85" s="75"/>
    </row>
    <row r="86" spans="3:9" x14ac:dyDescent="0.3">
      <c r="C86" s="116"/>
      <c r="D86" s="12" t="s">
        <v>16</v>
      </c>
      <c r="E86" s="12" t="s">
        <v>85</v>
      </c>
      <c r="F86" s="16">
        <v>1251001</v>
      </c>
      <c r="G86" s="75">
        <v>0</v>
      </c>
      <c r="H86" s="75"/>
      <c r="I86" s="75"/>
    </row>
    <row r="87" spans="3:9" x14ac:dyDescent="0.3">
      <c r="C87" s="116"/>
      <c r="D87" s="12" t="s">
        <v>16</v>
      </c>
      <c r="E87" s="12" t="s">
        <v>100</v>
      </c>
      <c r="F87" s="16">
        <v>1251001</v>
      </c>
      <c r="G87" s="75">
        <v>0</v>
      </c>
      <c r="H87" s="75"/>
      <c r="I87" s="75"/>
    </row>
    <row r="88" spans="3:9" x14ac:dyDescent="0.3">
      <c r="C88" s="116"/>
      <c r="D88" s="12" t="s">
        <v>16</v>
      </c>
      <c r="E88" s="12" t="s">
        <v>51</v>
      </c>
      <c r="F88" s="16">
        <v>1251001</v>
      </c>
      <c r="G88" s="75">
        <v>0</v>
      </c>
      <c r="H88" s="75"/>
      <c r="I88" s="75"/>
    </row>
    <row r="89" spans="3:9" x14ac:dyDescent="0.3">
      <c r="C89" s="116"/>
      <c r="D89" s="12" t="s">
        <v>16</v>
      </c>
      <c r="E89" s="12" t="s">
        <v>62</v>
      </c>
      <c r="F89" s="16">
        <v>1251001</v>
      </c>
      <c r="G89" s="75">
        <v>0</v>
      </c>
      <c r="H89" s="75"/>
      <c r="I89" s="75"/>
    </row>
    <row r="90" spans="3:9" x14ac:dyDescent="0.3">
      <c r="C90" s="116"/>
      <c r="D90" s="12" t="s">
        <v>16</v>
      </c>
      <c r="E90" s="12" t="s">
        <v>74</v>
      </c>
      <c r="F90" s="16">
        <v>1251001</v>
      </c>
      <c r="G90" s="75">
        <v>0</v>
      </c>
      <c r="H90" s="75"/>
      <c r="I90" s="75"/>
    </row>
    <row r="91" spans="3:9" x14ac:dyDescent="0.3">
      <c r="C91" s="116"/>
      <c r="D91" s="12" t="s">
        <v>16</v>
      </c>
      <c r="E91" s="12" t="s">
        <v>88</v>
      </c>
      <c r="F91" s="16">
        <v>1251001</v>
      </c>
      <c r="G91" s="75">
        <v>0</v>
      </c>
      <c r="H91" s="75"/>
      <c r="I91" s="75"/>
    </row>
    <row r="92" spans="3:9" x14ac:dyDescent="0.3">
      <c r="C92" s="116"/>
      <c r="D92" s="12" t="s">
        <v>16</v>
      </c>
      <c r="E92" s="12" t="s">
        <v>104</v>
      </c>
      <c r="F92" s="16">
        <v>1251001</v>
      </c>
      <c r="G92" s="75">
        <v>0</v>
      </c>
      <c r="H92" s="75"/>
      <c r="I92" s="75"/>
    </row>
    <row r="93" spans="3:9" x14ac:dyDescent="0.3">
      <c r="C93" s="116"/>
      <c r="D93" s="12" t="s">
        <v>16</v>
      </c>
      <c r="E93" s="12" t="s">
        <v>64</v>
      </c>
      <c r="F93" s="16">
        <v>1251001</v>
      </c>
      <c r="G93" s="75">
        <v>0</v>
      </c>
      <c r="H93" s="75"/>
      <c r="I93" s="75"/>
    </row>
    <row r="94" spans="3:9" x14ac:dyDescent="0.3">
      <c r="C94" s="116"/>
      <c r="D94" s="12" t="s">
        <v>16</v>
      </c>
      <c r="E94" s="12" t="s">
        <v>77</v>
      </c>
      <c r="F94" s="16">
        <v>1251001</v>
      </c>
      <c r="G94" s="75">
        <v>0</v>
      </c>
      <c r="H94" s="75"/>
      <c r="I94" s="75"/>
    </row>
    <row r="95" spans="3:9" x14ac:dyDescent="0.3">
      <c r="C95" s="116"/>
      <c r="D95" s="12" t="s">
        <v>16</v>
      </c>
      <c r="E95" s="12" t="s">
        <v>90</v>
      </c>
      <c r="F95" s="16">
        <v>1251001</v>
      </c>
      <c r="G95" s="75">
        <v>0</v>
      </c>
      <c r="H95" s="75"/>
      <c r="I95" s="75"/>
    </row>
    <row r="96" spans="3:9" x14ac:dyDescent="0.3">
      <c r="C96" s="116"/>
      <c r="D96" s="12" t="s">
        <v>16</v>
      </c>
      <c r="E96" s="12" t="s">
        <v>68</v>
      </c>
      <c r="F96" s="16">
        <v>1251001</v>
      </c>
      <c r="G96" s="75">
        <v>0</v>
      </c>
      <c r="H96" s="75"/>
      <c r="I96" s="75"/>
    </row>
    <row r="97" spans="3:9" x14ac:dyDescent="0.3">
      <c r="C97" s="116"/>
      <c r="D97" s="12" t="s">
        <v>16</v>
      </c>
      <c r="E97" s="12" t="s">
        <v>81</v>
      </c>
      <c r="F97" s="16">
        <v>1251001</v>
      </c>
      <c r="G97" s="75">
        <v>0</v>
      </c>
      <c r="H97" s="75"/>
      <c r="I97" s="75"/>
    </row>
    <row r="98" spans="3:9" x14ac:dyDescent="0.3">
      <c r="C98" s="116"/>
      <c r="D98" s="12" t="s">
        <v>16</v>
      </c>
      <c r="E98" s="12" t="s">
        <v>93</v>
      </c>
      <c r="F98" s="16">
        <v>1251001</v>
      </c>
      <c r="G98" s="75">
        <v>0</v>
      </c>
      <c r="H98" s="75"/>
      <c r="I98" s="75"/>
    </row>
    <row r="99" spans="3:9" x14ac:dyDescent="0.3">
      <c r="C99" s="116"/>
      <c r="D99" s="12" t="s">
        <v>16</v>
      </c>
      <c r="E99" s="12" t="s">
        <v>110</v>
      </c>
      <c r="F99" s="16">
        <v>1251001</v>
      </c>
      <c r="G99" s="75">
        <v>0</v>
      </c>
      <c r="H99" s="75"/>
      <c r="I99" s="75"/>
    </row>
    <row r="100" spans="3:9" x14ac:dyDescent="0.3">
      <c r="C100" s="116"/>
      <c r="D100" s="12" t="s">
        <v>16</v>
      </c>
      <c r="E100" s="12" t="s">
        <v>113</v>
      </c>
      <c r="F100" s="16">
        <v>1251001</v>
      </c>
      <c r="G100" s="75">
        <v>0</v>
      </c>
      <c r="H100" s="75"/>
      <c r="I100" s="75"/>
    </row>
    <row r="101" spans="3:9" x14ac:dyDescent="0.3">
      <c r="C101" s="116"/>
      <c r="D101" s="12" t="s">
        <v>16</v>
      </c>
      <c r="E101" s="12" t="s">
        <v>118</v>
      </c>
      <c r="F101" s="16">
        <v>1251001</v>
      </c>
      <c r="G101" s="75">
        <v>0</v>
      </c>
      <c r="H101" s="75"/>
      <c r="I101" s="75"/>
    </row>
    <row r="102" spans="3:9" x14ac:dyDescent="0.3">
      <c r="C102" s="116"/>
      <c r="D102" s="12" t="s">
        <v>16</v>
      </c>
      <c r="E102" s="12" t="s">
        <v>125</v>
      </c>
      <c r="F102" s="16">
        <v>1251001</v>
      </c>
      <c r="G102" s="75">
        <v>0</v>
      </c>
      <c r="H102" s="75"/>
      <c r="I102" s="75"/>
    </row>
    <row r="103" spans="3:9" x14ac:dyDescent="0.3">
      <c r="C103" s="116"/>
      <c r="D103" s="12" t="s">
        <v>16</v>
      </c>
      <c r="E103" s="12" t="s">
        <v>116</v>
      </c>
      <c r="F103" s="16">
        <v>1251001</v>
      </c>
      <c r="G103" s="75">
        <v>0</v>
      </c>
      <c r="H103" s="75"/>
      <c r="I103" s="75"/>
    </row>
    <row r="104" spans="3:9" x14ac:dyDescent="0.3">
      <c r="C104" s="116"/>
      <c r="D104" s="12" t="s">
        <v>16</v>
      </c>
      <c r="E104" s="12" t="s">
        <v>122</v>
      </c>
      <c r="F104" s="16">
        <v>1251001</v>
      </c>
      <c r="G104" s="75">
        <v>0</v>
      </c>
      <c r="H104" s="75"/>
      <c r="I104" s="75"/>
    </row>
    <row r="105" spans="3:9" x14ac:dyDescent="0.3">
      <c r="C105" s="116"/>
      <c r="D105" s="12" t="s">
        <v>16</v>
      </c>
      <c r="E105" s="12" t="s">
        <v>126</v>
      </c>
      <c r="F105" s="16">
        <v>1251001</v>
      </c>
      <c r="G105" s="75">
        <v>0</v>
      </c>
      <c r="H105" s="75"/>
      <c r="I105" s="75"/>
    </row>
    <row r="106" spans="3:9" x14ac:dyDescent="0.3">
      <c r="C106" s="116"/>
      <c r="D106" s="12" t="s">
        <v>16</v>
      </c>
      <c r="E106" s="12" t="s">
        <v>128</v>
      </c>
      <c r="F106" s="16">
        <v>1251001</v>
      </c>
      <c r="G106" s="75">
        <v>0</v>
      </c>
      <c r="H106" s="75"/>
      <c r="I106" s="75"/>
    </row>
    <row r="107" spans="3:9" x14ac:dyDescent="0.3">
      <c r="C107" s="116"/>
      <c r="D107" s="12" t="s">
        <v>16</v>
      </c>
      <c r="E107" s="12" t="s">
        <v>129</v>
      </c>
      <c r="F107" s="16">
        <v>1251001</v>
      </c>
      <c r="G107" s="75">
        <v>0</v>
      </c>
      <c r="H107" s="75"/>
      <c r="I107" s="75"/>
    </row>
    <row r="108" spans="3:9" x14ac:dyDescent="0.3">
      <c r="C108" s="116"/>
      <c r="D108" s="12" t="s">
        <v>16</v>
      </c>
      <c r="E108" s="12" t="s">
        <v>131</v>
      </c>
      <c r="F108" s="16">
        <v>1251001</v>
      </c>
      <c r="G108" s="75">
        <v>0</v>
      </c>
      <c r="H108" s="75"/>
      <c r="I108" s="75"/>
    </row>
    <row r="109" spans="3:9" x14ac:dyDescent="0.3">
      <c r="C109" s="116"/>
      <c r="D109" s="12" t="s">
        <v>16</v>
      </c>
      <c r="E109" s="12" t="s">
        <v>203</v>
      </c>
      <c r="F109" s="16">
        <v>1251001</v>
      </c>
      <c r="G109" s="75">
        <v>0</v>
      </c>
      <c r="H109" s="75"/>
      <c r="I109" s="75"/>
    </row>
    <row r="110" spans="3:9" x14ac:dyDescent="0.3">
      <c r="C110" s="116"/>
      <c r="D110" s="12" t="s">
        <v>16</v>
      </c>
      <c r="E110" s="12" t="s">
        <v>190</v>
      </c>
      <c r="F110" s="16">
        <v>1251001</v>
      </c>
      <c r="G110" s="75">
        <v>0</v>
      </c>
      <c r="H110" s="75"/>
      <c r="I110" s="75"/>
    </row>
    <row r="111" spans="3:9" x14ac:dyDescent="0.3">
      <c r="C111" s="116"/>
      <c r="D111" s="12" t="s">
        <v>16</v>
      </c>
      <c r="E111" s="12" t="s">
        <v>195</v>
      </c>
      <c r="F111" s="16">
        <v>1251001</v>
      </c>
      <c r="G111" s="75">
        <v>0</v>
      </c>
      <c r="H111" s="75"/>
      <c r="I111" s="75"/>
    </row>
    <row r="112" spans="3:9" x14ac:dyDescent="0.3">
      <c r="C112" s="116"/>
      <c r="D112" s="12" t="s">
        <v>16</v>
      </c>
      <c r="E112" s="12" t="s">
        <v>191</v>
      </c>
      <c r="F112" s="16">
        <v>1251001</v>
      </c>
      <c r="G112" s="75">
        <v>0</v>
      </c>
      <c r="H112" s="75"/>
      <c r="I112" s="75"/>
    </row>
    <row r="113" spans="3:9" x14ac:dyDescent="0.3">
      <c r="C113" s="116"/>
      <c r="D113" s="12" t="s">
        <v>16</v>
      </c>
      <c r="E113" s="12" t="s">
        <v>196</v>
      </c>
      <c r="F113" s="16">
        <v>1251001</v>
      </c>
      <c r="G113" s="75">
        <v>0</v>
      </c>
      <c r="H113" s="75"/>
      <c r="I113" s="75"/>
    </row>
    <row r="114" spans="3:9" x14ac:dyDescent="0.3">
      <c r="C114" s="116"/>
      <c r="D114" s="12" t="s">
        <v>16</v>
      </c>
      <c r="E114" s="12" t="s">
        <v>197</v>
      </c>
      <c r="F114" s="16">
        <v>1251001</v>
      </c>
      <c r="G114" s="75">
        <v>0</v>
      </c>
      <c r="H114" s="75"/>
      <c r="I114" s="75"/>
    </row>
    <row r="115" spans="3:9" x14ac:dyDescent="0.3">
      <c r="C115" s="116"/>
      <c r="D115" s="12" t="s">
        <v>16</v>
      </c>
      <c r="E115" s="12" t="s">
        <v>186</v>
      </c>
      <c r="F115" s="16">
        <v>1251001</v>
      </c>
      <c r="G115" s="75">
        <v>0</v>
      </c>
      <c r="H115" s="75"/>
      <c r="I115" s="75"/>
    </row>
    <row r="116" spans="3:9" x14ac:dyDescent="0.3">
      <c r="C116" s="116"/>
      <c r="D116" s="12" t="s">
        <v>16</v>
      </c>
      <c r="E116" s="12" t="s">
        <v>189</v>
      </c>
      <c r="F116" s="16">
        <v>1251001</v>
      </c>
      <c r="G116" s="75">
        <v>0</v>
      </c>
      <c r="H116" s="75"/>
      <c r="I116" s="75"/>
    </row>
    <row r="117" spans="3:9" x14ac:dyDescent="0.3">
      <c r="C117" s="116"/>
      <c r="D117" s="12" t="s">
        <v>16</v>
      </c>
      <c r="E117" s="12" t="s">
        <v>193</v>
      </c>
      <c r="F117" s="16">
        <v>1251001</v>
      </c>
      <c r="G117" s="75">
        <v>0</v>
      </c>
      <c r="H117" s="75"/>
      <c r="I117" s="75"/>
    </row>
    <row r="118" spans="3:9" x14ac:dyDescent="0.3">
      <c r="C118" s="116"/>
      <c r="D118" s="12" t="s">
        <v>16</v>
      </c>
      <c r="E118" s="12" t="s">
        <v>198</v>
      </c>
      <c r="F118" s="16">
        <v>1251001</v>
      </c>
      <c r="G118" s="75">
        <v>0</v>
      </c>
      <c r="H118" s="75"/>
      <c r="I118" s="75"/>
    </row>
    <row r="119" spans="3:9" x14ac:dyDescent="0.3">
      <c r="C119" s="116"/>
      <c r="D119" s="12" t="s">
        <v>16</v>
      </c>
      <c r="E119" s="12" t="s">
        <v>194</v>
      </c>
      <c r="F119" s="16">
        <v>1251001</v>
      </c>
      <c r="G119" s="75">
        <v>0</v>
      </c>
      <c r="H119" s="75"/>
      <c r="I119" s="75"/>
    </row>
    <row r="120" spans="3:9" x14ac:dyDescent="0.3">
      <c r="C120" s="116"/>
      <c r="D120" s="12" t="s">
        <v>16</v>
      </c>
      <c r="E120" s="12" t="s">
        <v>144</v>
      </c>
      <c r="F120" s="16">
        <v>1251001</v>
      </c>
      <c r="G120" s="75">
        <v>0</v>
      </c>
      <c r="H120" s="75"/>
      <c r="I120" s="75"/>
    </row>
    <row r="121" spans="3:9" x14ac:dyDescent="0.3">
      <c r="C121" s="116"/>
      <c r="D121" s="12" t="s">
        <v>16</v>
      </c>
      <c r="E121" s="12" t="s">
        <v>148</v>
      </c>
      <c r="F121" s="16">
        <v>1251001</v>
      </c>
      <c r="G121" s="75">
        <v>0</v>
      </c>
      <c r="H121" s="75"/>
      <c r="I121" s="75"/>
    </row>
    <row r="122" spans="3:9" x14ac:dyDescent="0.3">
      <c r="C122" s="116"/>
      <c r="D122" s="12" t="s">
        <v>16</v>
      </c>
      <c r="E122" s="12" t="s">
        <v>157</v>
      </c>
      <c r="F122" s="16">
        <v>1251001</v>
      </c>
      <c r="G122" s="75">
        <v>0</v>
      </c>
      <c r="H122" s="75"/>
      <c r="I122" s="75"/>
    </row>
    <row r="123" spans="3:9" x14ac:dyDescent="0.3">
      <c r="C123" s="116"/>
      <c r="D123" s="12" t="s">
        <v>16</v>
      </c>
      <c r="E123" s="12" t="s">
        <v>146</v>
      </c>
      <c r="F123" s="16">
        <v>1251001</v>
      </c>
      <c r="G123" s="75">
        <v>0</v>
      </c>
      <c r="H123" s="75"/>
      <c r="I123" s="75"/>
    </row>
    <row r="124" spans="3:9" x14ac:dyDescent="0.3">
      <c r="C124" s="116"/>
      <c r="D124" s="12" t="s">
        <v>16</v>
      </c>
      <c r="E124" s="12" t="s">
        <v>149</v>
      </c>
      <c r="F124" s="16">
        <v>1251001</v>
      </c>
      <c r="G124" s="75">
        <v>0</v>
      </c>
      <c r="H124" s="75"/>
      <c r="I124" s="75"/>
    </row>
    <row r="125" spans="3:9" x14ac:dyDescent="0.3">
      <c r="C125" s="116"/>
      <c r="D125" s="12" t="s">
        <v>16</v>
      </c>
      <c r="E125" s="12" t="s">
        <v>163</v>
      </c>
      <c r="F125" s="16">
        <v>1251001</v>
      </c>
      <c r="G125" s="75">
        <v>0</v>
      </c>
      <c r="H125" s="75"/>
      <c r="I125" s="75"/>
    </row>
    <row r="126" spans="3:9" x14ac:dyDescent="0.3">
      <c r="C126" s="116"/>
      <c r="D126" s="12" t="s">
        <v>16</v>
      </c>
      <c r="E126" s="12" t="s">
        <v>150</v>
      </c>
      <c r="F126" s="16">
        <v>1251001</v>
      </c>
      <c r="G126" s="75">
        <v>0</v>
      </c>
      <c r="H126" s="75"/>
      <c r="I126" s="75"/>
    </row>
    <row r="127" spans="3:9" x14ac:dyDescent="0.3">
      <c r="C127" s="116"/>
      <c r="D127" s="12" t="s">
        <v>16</v>
      </c>
      <c r="E127" s="12" t="s">
        <v>169</v>
      </c>
      <c r="F127" s="16">
        <v>1251001</v>
      </c>
      <c r="G127" s="75">
        <v>0</v>
      </c>
      <c r="H127" s="75"/>
      <c r="I127" s="75"/>
    </row>
    <row r="128" spans="3:9" x14ac:dyDescent="0.3">
      <c r="C128" s="116"/>
      <c r="D128" s="12" t="s">
        <v>16</v>
      </c>
      <c r="E128" s="12" t="s">
        <v>178</v>
      </c>
      <c r="F128" s="16">
        <v>1251001</v>
      </c>
      <c r="G128" s="75">
        <v>0</v>
      </c>
      <c r="H128" s="75"/>
      <c r="I128" s="75"/>
    </row>
    <row r="129" spans="3:9" x14ac:dyDescent="0.3">
      <c r="C129" s="116"/>
      <c r="D129" s="12" t="s">
        <v>16</v>
      </c>
      <c r="E129" s="12" t="s">
        <v>175</v>
      </c>
      <c r="F129" s="16">
        <v>1251001</v>
      </c>
      <c r="G129" s="75">
        <v>0</v>
      </c>
      <c r="H129" s="75"/>
      <c r="I129" s="75"/>
    </row>
    <row r="130" spans="3:9" x14ac:dyDescent="0.3">
      <c r="C130" s="116"/>
      <c r="D130" s="12" t="s">
        <v>16</v>
      </c>
      <c r="E130" s="12" t="s">
        <v>179</v>
      </c>
      <c r="F130" s="16">
        <v>1251001</v>
      </c>
      <c r="G130" s="75">
        <v>0</v>
      </c>
      <c r="H130" s="75"/>
      <c r="I130" s="75"/>
    </row>
    <row r="131" spans="3:9" x14ac:dyDescent="0.3">
      <c r="C131" s="116"/>
      <c r="D131" s="12" t="s">
        <v>16</v>
      </c>
      <c r="E131" s="12" t="s">
        <v>181</v>
      </c>
      <c r="F131" s="16">
        <v>1251001</v>
      </c>
      <c r="G131" s="75">
        <v>0</v>
      </c>
      <c r="H131" s="75"/>
      <c r="I131" s="75"/>
    </row>
    <row r="132" spans="3:9" x14ac:dyDescent="0.3">
      <c r="C132" s="116"/>
      <c r="D132" s="12" t="s">
        <v>16</v>
      </c>
      <c r="E132" s="12" t="s">
        <v>176</v>
      </c>
      <c r="F132" s="16">
        <v>1251001</v>
      </c>
      <c r="G132" s="75">
        <v>0</v>
      </c>
      <c r="H132" s="75"/>
      <c r="I132" s="75"/>
    </row>
    <row r="133" spans="3:9" x14ac:dyDescent="0.3">
      <c r="C133" s="116"/>
      <c r="D133" s="12" t="s">
        <v>16</v>
      </c>
      <c r="E133" s="12" t="s">
        <v>180</v>
      </c>
      <c r="F133" s="16">
        <v>1251001</v>
      </c>
      <c r="G133" s="75">
        <v>0</v>
      </c>
      <c r="H133" s="75"/>
      <c r="I133" s="75"/>
    </row>
    <row r="134" spans="3:9" x14ac:dyDescent="0.3">
      <c r="C134" s="116"/>
      <c r="D134" s="12" t="s">
        <v>16</v>
      </c>
      <c r="E134" s="12" t="s">
        <v>182</v>
      </c>
      <c r="F134" s="16">
        <v>1251001</v>
      </c>
      <c r="G134" s="75">
        <v>0</v>
      </c>
      <c r="H134" s="75"/>
      <c r="I134" s="75"/>
    </row>
    <row r="135" spans="3:9" x14ac:dyDescent="0.3">
      <c r="C135" s="116"/>
      <c r="D135" s="12" t="s">
        <v>16</v>
      </c>
      <c r="E135" s="12" t="s">
        <v>183</v>
      </c>
      <c r="F135" s="16">
        <v>1251001</v>
      </c>
      <c r="G135" s="75">
        <v>0</v>
      </c>
      <c r="H135" s="75"/>
      <c r="I135" s="75"/>
    </row>
    <row r="136" spans="3:9" x14ac:dyDescent="0.3">
      <c r="C136" s="116"/>
      <c r="D136" s="12" t="s">
        <v>16</v>
      </c>
      <c r="E136" s="12" t="s">
        <v>184</v>
      </c>
      <c r="F136" s="16">
        <v>1251001</v>
      </c>
      <c r="G136" s="75">
        <v>0</v>
      </c>
      <c r="H136" s="75"/>
      <c r="I136" s="75"/>
    </row>
    <row r="137" spans="3:9" x14ac:dyDescent="0.3">
      <c r="C137" s="116"/>
      <c r="D137" s="12" t="s">
        <v>16</v>
      </c>
      <c r="E137" s="12" t="s">
        <v>137</v>
      </c>
      <c r="F137" s="16">
        <v>1251001</v>
      </c>
      <c r="G137" s="75">
        <v>0</v>
      </c>
      <c r="H137" s="75"/>
      <c r="I137" s="75"/>
    </row>
    <row r="138" spans="3:9" x14ac:dyDescent="0.3">
      <c r="C138" s="116"/>
      <c r="D138" s="12" t="s">
        <v>16</v>
      </c>
      <c r="E138" s="12" t="s">
        <v>138</v>
      </c>
      <c r="F138" s="16">
        <v>1251001</v>
      </c>
      <c r="G138" s="75">
        <v>0</v>
      </c>
      <c r="H138" s="75"/>
      <c r="I138" s="75"/>
    </row>
    <row r="139" spans="3:9" x14ac:dyDescent="0.3">
      <c r="C139" s="116"/>
      <c r="D139" s="12" t="s">
        <v>16</v>
      </c>
      <c r="E139" s="12" t="s">
        <v>139</v>
      </c>
      <c r="F139" s="16">
        <v>1251001</v>
      </c>
      <c r="G139" s="75">
        <v>0</v>
      </c>
      <c r="H139" s="75"/>
      <c r="I139" s="75"/>
    </row>
    <row r="140" spans="3:9" x14ac:dyDescent="0.3">
      <c r="C140" s="116"/>
      <c r="D140" s="12" t="s">
        <v>16</v>
      </c>
      <c r="E140" s="12" t="s">
        <v>141</v>
      </c>
      <c r="F140" s="16">
        <v>1251001</v>
      </c>
      <c r="G140" s="75">
        <v>0</v>
      </c>
      <c r="H140" s="75"/>
      <c r="I140" s="75"/>
    </row>
    <row r="141" spans="3:9" x14ac:dyDescent="0.3">
      <c r="C141" s="116"/>
      <c r="D141" s="12" t="s">
        <v>16</v>
      </c>
      <c r="E141" s="12" t="s">
        <v>140</v>
      </c>
      <c r="F141" s="16">
        <v>1251001</v>
      </c>
      <c r="G141" s="75">
        <v>0</v>
      </c>
      <c r="H141" s="75"/>
      <c r="I141" s="75"/>
    </row>
    <row r="142" spans="3:9" x14ac:dyDescent="0.3">
      <c r="C142" s="116"/>
      <c r="D142" s="12" t="s">
        <v>16</v>
      </c>
      <c r="E142" s="12" t="s">
        <v>143</v>
      </c>
      <c r="F142" s="16">
        <v>1251001</v>
      </c>
      <c r="G142" s="75">
        <v>0</v>
      </c>
      <c r="H142" s="75"/>
      <c r="I142" s="75"/>
    </row>
    <row r="143" spans="3:9" x14ac:dyDescent="0.3">
      <c r="C143" s="116"/>
      <c r="D143" s="12" t="s">
        <v>16</v>
      </c>
      <c r="E143" s="12" t="s">
        <v>147</v>
      </c>
      <c r="F143" s="16">
        <v>1251001</v>
      </c>
      <c r="G143" s="75">
        <v>0</v>
      </c>
      <c r="H143" s="75"/>
      <c r="I143" s="75"/>
    </row>
    <row r="144" spans="3:9" x14ac:dyDescent="0.3">
      <c r="C144" s="116"/>
      <c r="D144" s="12" t="s">
        <v>16</v>
      </c>
      <c r="E144" s="12" t="s">
        <v>151</v>
      </c>
      <c r="F144" s="16">
        <v>1251001</v>
      </c>
      <c r="G144" s="75">
        <v>0</v>
      </c>
      <c r="H144" s="75"/>
      <c r="I144" s="75"/>
    </row>
    <row r="145" spans="3:9" x14ac:dyDescent="0.3">
      <c r="C145" s="116"/>
      <c r="D145" s="12" t="s">
        <v>17</v>
      </c>
      <c r="E145" s="12" t="s">
        <v>45</v>
      </c>
      <c r="F145" s="16">
        <v>1251001</v>
      </c>
      <c r="G145" s="75">
        <v>0</v>
      </c>
      <c r="H145" s="75"/>
      <c r="I145" s="75"/>
    </row>
    <row r="146" spans="3:9" x14ac:dyDescent="0.3">
      <c r="C146" s="116"/>
      <c r="D146" s="12" t="s">
        <v>17</v>
      </c>
      <c r="E146" s="12" t="s">
        <v>54</v>
      </c>
      <c r="F146" s="16">
        <v>1251001</v>
      </c>
      <c r="G146" s="75">
        <v>0</v>
      </c>
      <c r="H146" s="75"/>
      <c r="I146" s="75"/>
    </row>
    <row r="147" spans="3:9" x14ac:dyDescent="0.3">
      <c r="C147" s="116"/>
      <c r="D147" s="12" t="s">
        <v>17</v>
      </c>
      <c r="E147" s="12" t="s">
        <v>67</v>
      </c>
      <c r="F147" s="16">
        <v>1251001</v>
      </c>
      <c r="G147" s="75">
        <v>0</v>
      </c>
      <c r="H147" s="75"/>
      <c r="I147" s="75"/>
    </row>
    <row r="148" spans="3:9" x14ac:dyDescent="0.3">
      <c r="C148" s="116"/>
      <c r="D148" s="12" t="s">
        <v>17</v>
      </c>
      <c r="E148" s="12" t="s">
        <v>83</v>
      </c>
      <c r="F148" s="16">
        <v>1251001</v>
      </c>
      <c r="G148" s="75">
        <v>0</v>
      </c>
      <c r="H148" s="75"/>
      <c r="I148" s="75"/>
    </row>
    <row r="149" spans="3:9" x14ac:dyDescent="0.3">
      <c r="C149" s="116"/>
      <c r="D149" s="12" t="s">
        <v>17</v>
      </c>
      <c r="E149" s="12" t="s">
        <v>95</v>
      </c>
      <c r="F149" s="16">
        <v>1251001</v>
      </c>
      <c r="G149" s="75">
        <v>0</v>
      </c>
      <c r="H149" s="75"/>
      <c r="I149" s="75"/>
    </row>
    <row r="150" spans="3:9" x14ac:dyDescent="0.3">
      <c r="C150" s="116"/>
      <c r="D150" s="12" t="s">
        <v>17</v>
      </c>
      <c r="E150" s="12" t="s">
        <v>49</v>
      </c>
      <c r="F150" s="16">
        <v>1251001</v>
      </c>
      <c r="G150" s="75">
        <v>0</v>
      </c>
      <c r="H150" s="75"/>
      <c r="I150" s="75"/>
    </row>
    <row r="151" spans="3:9" x14ac:dyDescent="0.3">
      <c r="C151" s="116"/>
      <c r="D151" s="12" t="s">
        <v>17</v>
      </c>
      <c r="E151" s="12" t="s">
        <v>58</v>
      </c>
      <c r="F151" s="16">
        <v>1251001</v>
      </c>
      <c r="G151" s="75">
        <v>0</v>
      </c>
      <c r="H151" s="75"/>
      <c r="I151" s="75"/>
    </row>
    <row r="152" spans="3:9" x14ac:dyDescent="0.3">
      <c r="C152" s="116"/>
      <c r="D152" s="12" t="s">
        <v>17</v>
      </c>
      <c r="E152" s="12" t="s">
        <v>71</v>
      </c>
      <c r="F152" s="16">
        <v>1251001</v>
      </c>
      <c r="G152" s="75">
        <v>0</v>
      </c>
      <c r="H152" s="75"/>
      <c r="I152" s="75"/>
    </row>
    <row r="153" spans="3:9" x14ac:dyDescent="0.3">
      <c r="C153" s="116"/>
      <c r="D153" s="12" t="s">
        <v>17</v>
      </c>
      <c r="E153" s="12" t="s">
        <v>85</v>
      </c>
      <c r="F153" s="16">
        <v>1251001</v>
      </c>
      <c r="G153" s="75">
        <v>0</v>
      </c>
      <c r="H153" s="75"/>
      <c r="I153" s="75"/>
    </row>
    <row r="154" spans="3:9" x14ac:dyDescent="0.3">
      <c r="C154" s="116"/>
      <c r="D154" s="12" t="s">
        <v>17</v>
      </c>
      <c r="E154" s="12" t="s">
        <v>100</v>
      </c>
      <c r="F154" s="16">
        <v>1251001</v>
      </c>
      <c r="G154" s="75">
        <v>0</v>
      </c>
      <c r="H154" s="75"/>
      <c r="I154" s="75"/>
    </row>
    <row r="155" spans="3:9" x14ac:dyDescent="0.3">
      <c r="C155" s="116"/>
      <c r="D155" s="12" t="s">
        <v>17</v>
      </c>
      <c r="E155" s="12" t="s">
        <v>51</v>
      </c>
      <c r="F155" s="16">
        <v>1251001</v>
      </c>
      <c r="G155" s="75">
        <v>0</v>
      </c>
      <c r="H155" s="75"/>
      <c r="I155" s="75"/>
    </row>
    <row r="156" spans="3:9" x14ac:dyDescent="0.3">
      <c r="C156" s="116"/>
      <c r="D156" s="12" t="s">
        <v>17</v>
      </c>
      <c r="E156" s="12" t="s">
        <v>62</v>
      </c>
      <c r="F156" s="16">
        <v>1251001</v>
      </c>
      <c r="G156" s="75">
        <v>0</v>
      </c>
      <c r="H156" s="75"/>
      <c r="I156" s="75"/>
    </row>
    <row r="157" spans="3:9" x14ac:dyDescent="0.3">
      <c r="C157" s="116"/>
      <c r="D157" s="12" t="s">
        <v>17</v>
      </c>
      <c r="E157" s="12" t="s">
        <v>74</v>
      </c>
      <c r="F157" s="16">
        <v>1251001</v>
      </c>
      <c r="G157" s="75">
        <v>0</v>
      </c>
      <c r="H157" s="75"/>
      <c r="I157" s="75"/>
    </row>
    <row r="158" spans="3:9" x14ac:dyDescent="0.3">
      <c r="C158" s="116"/>
      <c r="D158" s="12" t="s">
        <v>17</v>
      </c>
      <c r="E158" s="12" t="s">
        <v>88</v>
      </c>
      <c r="F158" s="16">
        <v>1251001</v>
      </c>
      <c r="G158" s="75">
        <v>0</v>
      </c>
      <c r="H158" s="75"/>
      <c r="I158" s="75"/>
    </row>
    <row r="159" spans="3:9" x14ac:dyDescent="0.3">
      <c r="C159" s="116"/>
      <c r="D159" s="12" t="s">
        <v>17</v>
      </c>
      <c r="E159" s="12" t="s">
        <v>104</v>
      </c>
      <c r="F159" s="16">
        <v>1251001</v>
      </c>
      <c r="G159" s="75">
        <v>0</v>
      </c>
      <c r="H159" s="75"/>
      <c r="I159" s="75"/>
    </row>
    <row r="160" spans="3:9" x14ac:dyDescent="0.3">
      <c r="C160" s="116"/>
      <c r="D160" s="12" t="s">
        <v>17</v>
      </c>
      <c r="E160" s="12" t="s">
        <v>64</v>
      </c>
      <c r="F160" s="16">
        <v>1251001</v>
      </c>
      <c r="G160" s="75">
        <v>0</v>
      </c>
      <c r="H160" s="75"/>
      <c r="I160" s="75"/>
    </row>
    <row r="161" spans="3:9" x14ac:dyDescent="0.3">
      <c r="C161" s="116"/>
      <c r="D161" s="12" t="s">
        <v>17</v>
      </c>
      <c r="E161" s="12" t="s">
        <v>77</v>
      </c>
      <c r="F161" s="16">
        <v>1251001</v>
      </c>
      <c r="G161" s="75">
        <v>0</v>
      </c>
      <c r="H161" s="75"/>
      <c r="I161" s="75"/>
    </row>
    <row r="162" spans="3:9" x14ac:dyDescent="0.3">
      <c r="C162" s="116"/>
      <c r="D162" s="12" t="s">
        <v>17</v>
      </c>
      <c r="E162" s="12" t="s">
        <v>90</v>
      </c>
      <c r="F162" s="16">
        <v>1251001</v>
      </c>
      <c r="G162" s="75">
        <v>0</v>
      </c>
      <c r="H162" s="75"/>
      <c r="I162" s="75"/>
    </row>
    <row r="163" spans="3:9" x14ac:dyDescent="0.3">
      <c r="C163" s="116"/>
      <c r="D163" s="12" t="s">
        <v>17</v>
      </c>
      <c r="E163" s="12" t="s">
        <v>68</v>
      </c>
      <c r="F163" s="16">
        <v>1251001</v>
      </c>
      <c r="G163" s="75">
        <v>0</v>
      </c>
      <c r="H163" s="75"/>
      <c r="I163" s="75"/>
    </row>
    <row r="164" spans="3:9" x14ac:dyDescent="0.3">
      <c r="C164" s="116"/>
      <c r="D164" s="12" t="s">
        <v>17</v>
      </c>
      <c r="E164" s="12" t="s">
        <v>81</v>
      </c>
      <c r="F164" s="16">
        <v>1251001</v>
      </c>
      <c r="G164" s="75">
        <v>0</v>
      </c>
      <c r="H164" s="75"/>
      <c r="I164" s="75"/>
    </row>
    <row r="165" spans="3:9" x14ac:dyDescent="0.3">
      <c r="C165" s="116"/>
      <c r="D165" s="12" t="s">
        <v>17</v>
      </c>
      <c r="E165" s="12" t="s">
        <v>93</v>
      </c>
      <c r="F165" s="16">
        <v>1251001</v>
      </c>
      <c r="G165" s="75">
        <v>0</v>
      </c>
      <c r="H165" s="75"/>
      <c r="I165" s="75"/>
    </row>
    <row r="166" spans="3:9" x14ac:dyDescent="0.3">
      <c r="C166" s="116"/>
      <c r="D166" s="12" t="s">
        <v>17</v>
      </c>
      <c r="E166" s="12" t="s">
        <v>110</v>
      </c>
      <c r="F166" s="16">
        <v>1251001</v>
      </c>
      <c r="G166" s="75">
        <v>0</v>
      </c>
      <c r="H166" s="75"/>
      <c r="I166" s="75"/>
    </row>
    <row r="167" spans="3:9" x14ac:dyDescent="0.3">
      <c r="C167" s="116"/>
      <c r="D167" s="12" t="s">
        <v>17</v>
      </c>
      <c r="E167" s="12" t="s">
        <v>113</v>
      </c>
      <c r="F167" s="16">
        <v>1251001</v>
      </c>
      <c r="G167" s="75">
        <v>0</v>
      </c>
      <c r="H167" s="75"/>
      <c r="I167" s="75"/>
    </row>
    <row r="168" spans="3:9" x14ac:dyDescent="0.3">
      <c r="C168" s="116"/>
      <c r="D168" s="12" t="s">
        <v>17</v>
      </c>
      <c r="E168" s="12" t="s">
        <v>118</v>
      </c>
      <c r="F168" s="16">
        <v>1251001</v>
      </c>
      <c r="G168" s="75">
        <v>0</v>
      </c>
      <c r="H168" s="75"/>
      <c r="I168" s="75"/>
    </row>
    <row r="169" spans="3:9" x14ac:dyDescent="0.3">
      <c r="C169" s="116"/>
      <c r="D169" s="12" t="s">
        <v>17</v>
      </c>
      <c r="E169" s="12" t="s">
        <v>125</v>
      </c>
      <c r="F169" s="16">
        <v>1251001</v>
      </c>
      <c r="G169" s="75">
        <v>0</v>
      </c>
      <c r="H169" s="75"/>
      <c r="I169" s="75"/>
    </row>
    <row r="170" spans="3:9" x14ac:dyDescent="0.3">
      <c r="C170" s="116"/>
      <c r="D170" s="12" t="s">
        <v>17</v>
      </c>
      <c r="E170" s="12" t="s">
        <v>116</v>
      </c>
      <c r="F170" s="16">
        <v>1251001</v>
      </c>
      <c r="G170" s="75">
        <v>0</v>
      </c>
      <c r="H170" s="75"/>
      <c r="I170" s="75"/>
    </row>
    <row r="171" spans="3:9" x14ac:dyDescent="0.3">
      <c r="C171" s="116"/>
      <c r="D171" s="12" t="s">
        <v>17</v>
      </c>
      <c r="E171" s="12" t="s">
        <v>122</v>
      </c>
      <c r="F171" s="16">
        <v>1251001</v>
      </c>
      <c r="G171" s="75">
        <v>0</v>
      </c>
      <c r="H171" s="75"/>
      <c r="I171" s="75"/>
    </row>
    <row r="172" spans="3:9" x14ac:dyDescent="0.3">
      <c r="C172" s="116"/>
      <c r="D172" s="12" t="s">
        <v>17</v>
      </c>
      <c r="E172" s="12" t="s">
        <v>126</v>
      </c>
      <c r="F172" s="16">
        <v>1251001</v>
      </c>
      <c r="G172" s="75">
        <v>0</v>
      </c>
      <c r="H172" s="75"/>
      <c r="I172" s="75"/>
    </row>
    <row r="173" spans="3:9" x14ac:dyDescent="0.3">
      <c r="C173" s="116"/>
      <c r="D173" s="12" t="s">
        <v>17</v>
      </c>
      <c r="E173" s="12" t="s">
        <v>128</v>
      </c>
      <c r="F173" s="16">
        <v>1251001</v>
      </c>
      <c r="G173" s="75">
        <v>0</v>
      </c>
      <c r="H173" s="75"/>
      <c r="I173" s="75"/>
    </row>
    <row r="174" spans="3:9" x14ac:dyDescent="0.3">
      <c r="C174" s="116"/>
      <c r="D174" s="12" t="s">
        <v>17</v>
      </c>
      <c r="E174" s="12" t="s">
        <v>129</v>
      </c>
      <c r="F174" s="16">
        <v>1251001</v>
      </c>
      <c r="G174" s="75">
        <v>0</v>
      </c>
      <c r="H174" s="75"/>
      <c r="I174" s="75"/>
    </row>
    <row r="175" spans="3:9" x14ac:dyDescent="0.3">
      <c r="C175" s="116"/>
      <c r="D175" s="12" t="s">
        <v>17</v>
      </c>
      <c r="E175" s="12" t="s">
        <v>131</v>
      </c>
      <c r="F175" s="16">
        <v>1251001</v>
      </c>
      <c r="G175" s="75">
        <v>0</v>
      </c>
      <c r="H175" s="75"/>
      <c r="I175" s="75"/>
    </row>
    <row r="176" spans="3:9" x14ac:dyDescent="0.3">
      <c r="C176" s="116"/>
      <c r="D176" s="12" t="s">
        <v>17</v>
      </c>
      <c r="E176" s="12" t="s">
        <v>203</v>
      </c>
      <c r="F176" s="16">
        <v>1251001</v>
      </c>
      <c r="G176" s="75">
        <v>0</v>
      </c>
      <c r="H176" s="75"/>
      <c r="I176" s="75"/>
    </row>
    <row r="177" spans="3:9" x14ac:dyDescent="0.3">
      <c r="C177" s="116"/>
      <c r="D177" s="12" t="s">
        <v>17</v>
      </c>
      <c r="E177" s="12" t="s">
        <v>190</v>
      </c>
      <c r="F177" s="16">
        <v>1251001</v>
      </c>
      <c r="G177" s="75">
        <v>0</v>
      </c>
      <c r="H177" s="75"/>
      <c r="I177" s="75"/>
    </row>
    <row r="178" spans="3:9" x14ac:dyDescent="0.3">
      <c r="C178" s="116"/>
      <c r="D178" s="12" t="s">
        <v>17</v>
      </c>
      <c r="E178" s="12" t="s">
        <v>195</v>
      </c>
      <c r="F178" s="16">
        <v>1251001</v>
      </c>
      <c r="G178" s="75">
        <v>0</v>
      </c>
      <c r="H178" s="75"/>
      <c r="I178" s="75"/>
    </row>
    <row r="179" spans="3:9" x14ac:dyDescent="0.3">
      <c r="C179" s="116"/>
      <c r="D179" s="12" t="s">
        <v>17</v>
      </c>
      <c r="E179" s="12" t="s">
        <v>191</v>
      </c>
      <c r="F179" s="16">
        <v>1251001</v>
      </c>
      <c r="G179" s="75">
        <v>0</v>
      </c>
      <c r="H179" s="75"/>
      <c r="I179" s="75"/>
    </row>
    <row r="180" spans="3:9" x14ac:dyDescent="0.3">
      <c r="C180" s="116"/>
      <c r="D180" s="12" t="s">
        <v>17</v>
      </c>
      <c r="E180" s="12" t="s">
        <v>196</v>
      </c>
      <c r="F180" s="16">
        <v>1251001</v>
      </c>
      <c r="G180" s="75">
        <v>0</v>
      </c>
      <c r="H180" s="75"/>
      <c r="I180" s="75"/>
    </row>
    <row r="181" spans="3:9" x14ac:dyDescent="0.3">
      <c r="C181" s="116"/>
      <c r="D181" s="12" t="s">
        <v>17</v>
      </c>
      <c r="E181" s="12" t="s">
        <v>197</v>
      </c>
      <c r="F181" s="16">
        <v>1251001</v>
      </c>
      <c r="G181" s="75">
        <v>0</v>
      </c>
      <c r="H181" s="75"/>
      <c r="I181" s="75"/>
    </row>
    <row r="182" spans="3:9" x14ac:dyDescent="0.3">
      <c r="C182" s="116"/>
      <c r="D182" s="12" t="s">
        <v>17</v>
      </c>
      <c r="E182" s="12" t="s">
        <v>186</v>
      </c>
      <c r="F182" s="16">
        <v>1251001</v>
      </c>
      <c r="G182" s="75">
        <v>0</v>
      </c>
      <c r="H182" s="75"/>
      <c r="I182" s="75"/>
    </row>
    <row r="183" spans="3:9" x14ac:dyDescent="0.3">
      <c r="C183" s="116"/>
      <c r="D183" s="12" t="s">
        <v>17</v>
      </c>
      <c r="E183" s="12" t="s">
        <v>189</v>
      </c>
      <c r="F183" s="16">
        <v>1251001</v>
      </c>
      <c r="G183" s="75">
        <v>0</v>
      </c>
      <c r="H183" s="75"/>
      <c r="I183" s="75"/>
    </row>
    <row r="184" spans="3:9" x14ac:dyDescent="0.3">
      <c r="C184" s="116"/>
      <c r="D184" s="12" t="s">
        <v>17</v>
      </c>
      <c r="E184" s="12" t="s">
        <v>193</v>
      </c>
      <c r="F184" s="16">
        <v>1251001</v>
      </c>
      <c r="G184" s="75">
        <v>0</v>
      </c>
      <c r="H184" s="75"/>
      <c r="I184" s="75"/>
    </row>
    <row r="185" spans="3:9" x14ac:dyDescent="0.3">
      <c r="C185" s="116"/>
      <c r="D185" s="12" t="s">
        <v>17</v>
      </c>
      <c r="E185" s="12" t="s">
        <v>198</v>
      </c>
      <c r="F185" s="16">
        <v>1251001</v>
      </c>
      <c r="G185" s="75">
        <v>0</v>
      </c>
      <c r="H185" s="75"/>
      <c r="I185" s="75"/>
    </row>
    <row r="186" spans="3:9" x14ac:dyDescent="0.3">
      <c r="C186" s="116"/>
      <c r="D186" s="12" t="s">
        <v>17</v>
      </c>
      <c r="E186" s="12" t="s">
        <v>194</v>
      </c>
      <c r="F186" s="16">
        <v>1251001</v>
      </c>
      <c r="G186" s="75">
        <v>0</v>
      </c>
      <c r="H186" s="75"/>
      <c r="I186" s="75"/>
    </row>
    <row r="187" spans="3:9" x14ac:dyDescent="0.3">
      <c r="C187" s="116"/>
      <c r="D187" s="12" t="s">
        <v>17</v>
      </c>
      <c r="E187" s="12" t="s">
        <v>144</v>
      </c>
      <c r="F187" s="16">
        <v>1251001</v>
      </c>
      <c r="G187" s="75">
        <v>0</v>
      </c>
      <c r="H187" s="75"/>
      <c r="I187" s="75"/>
    </row>
    <row r="188" spans="3:9" x14ac:dyDescent="0.3">
      <c r="C188" s="116"/>
      <c r="D188" s="12" t="s">
        <v>17</v>
      </c>
      <c r="E188" s="12" t="s">
        <v>148</v>
      </c>
      <c r="F188" s="16">
        <v>1251001</v>
      </c>
      <c r="G188" s="75">
        <v>0</v>
      </c>
      <c r="H188" s="75"/>
      <c r="I188" s="75"/>
    </row>
    <row r="189" spans="3:9" x14ac:dyDescent="0.3">
      <c r="C189" s="116"/>
      <c r="D189" s="12" t="s">
        <v>17</v>
      </c>
      <c r="E189" s="12" t="s">
        <v>157</v>
      </c>
      <c r="F189" s="16">
        <v>1251001</v>
      </c>
      <c r="G189" s="75">
        <v>0</v>
      </c>
      <c r="H189" s="75"/>
      <c r="I189" s="75"/>
    </row>
    <row r="190" spans="3:9" x14ac:dyDescent="0.3">
      <c r="C190" s="116"/>
      <c r="D190" s="12" t="s">
        <v>17</v>
      </c>
      <c r="E190" s="12" t="s">
        <v>146</v>
      </c>
      <c r="F190" s="16">
        <v>1251001</v>
      </c>
      <c r="G190" s="75">
        <v>0</v>
      </c>
      <c r="H190" s="75"/>
      <c r="I190" s="75"/>
    </row>
    <row r="191" spans="3:9" x14ac:dyDescent="0.3">
      <c r="C191" s="116"/>
      <c r="D191" s="12" t="s">
        <v>17</v>
      </c>
      <c r="E191" s="12" t="s">
        <v>149</v>
      </c>
      <c r="F191" s="16">
        <v>1251001</v>
      </c>
      <c r="G191" s="75">
        <v>0</v>
      </c>
      <c r="H191" s="75"/>
      <c r="I191" s="75"/>
    </row>
    <row r="192" spans="3:9" x14ac:dyDescent="0.3">
      <c r="C192" s="116"/>
      <c r="D192" s="12" t="s">
        <v>17</v>
      </c>
      <c r="E192" s="12" t="s">
        <v>163</v>
      </c>
      <c r="F192" s="16">
        <v>1251001</v>
      </c>
      <c r="G192" s="75">
        <v>0</v>
      </c>
      <c r="H192" s="75"/>
      <c r="I192" s="75"/>
    </row>
    <row r="193" spans="3:9" x14ac:dyDescent="0.3">
      <c r="C193" s="116"/>
      <c r="D193" s="12" t="s">
        <v>17</v>
      </c>
      <c r="E193" s="12" t="s">
        <v>150</v>
      </c>
      <c r="F193" s="16">
        <v>1251001</v>
      </c>
      <c r="G193" s="75">
        <v>0</v>
      </c>
      <c r="H193" s="75"/>
      <c r="I193" s="75"/>
    </row>
    <row r="194" spans="3:9" x14ac:dyDescent="0.3">
      <c r="C194" s="116"/>
      <c r="D194" s="12" t="s">
        <v>17</v>
      </c>
      <c r="E194" s="12" t="s">
        <v>169</v>
      </c>
      <c r="F194" s="16">
        <v>1251001</v>
      </c>
      <c r="G194" s="75">
        <v>0</v>
      </c>
      <c r="H194" s="75"/>
      <c r="I194" s="75"/>
    </row>
    <row r="195" spans="3:9" x14ac:dyDescent="0.3">
      <c r="C195" s="116"/>
      <c r="D195" s="12" t="s">
        <v>17</v>
      </c>
      <c r="E195" s="12" t="s">
        <v>178</v>
      </c>
      <c r="F195" s="16">
        <v>1251001</v>
      </c>
      <c r="G195" s="75">
        <v>0</v>
      </c>
      <c r="H195" s="75"/>
      <c r="I195" s="75"/>
    </row>
    <row r="196" spans="3:9" x14ac:dyDescent="0.3">
      <c r="C196" s="116"/>
      <c r="D196" s="12" t="s">
        <v>17</v>
      </c>
      <c r="E196" s="12" t="s">
        <v>175</v>
      </c>
      <c r="F196" s="16">
        <v>1251001</v>
      </c>
      <c r="G196" s="75">
        <v>0</v>
      </c>
      <c r="H196" s="75"/>
      <c r="I196" s="75"/>
    </row>
    <row r="197" spans="3:9" x14ac:dyDescent="0.3">
      <c r="C197" s="116"/>
      <c r="D197" s="12" t="s">
        <v>17</v>
      </c>
      <c r="E197" s="12" t="s">
        <v>179</v>
      </c>
      <c r="F197" s="16">
        <v>1251001</v>
      </c>
      <c r="G197" s="75">
        <v>0</v>
      </c>
      <c r="H197" s="75"/>
      <c r="I197" s="75"/>
    </row>
    <row r="198" spans="3:9" x14ac:dyDescent="0.3">
      <c r="C198" s="116"/>
      <c r="D198" s="12" t="s">
        <v>17</v>
      </c>
      <c r="E198" s="12" t="s">
        <v>181</v>
      </c>
      <c r="F198" s="16">
        <v>1251001</v>
      </c>
      <c r="G198" s="75">
        <v>0</v>
      </c>
      <c r="H198" s="75"/>
      <c r="I198" s="75"/>
    </row>
    <row r="199" spans="3:9" x14ac:dyDescent="0.3">
      <c r="C199" s="116"/>
      <c r="D199" s="12" t="s">
        <v>17</v>
      </c>
      <c r="E199" s="12" t="s">
        <v>176</v>
      </c>
      <c r="F199" s="16">
        <v>1251001</v>
      </c>
      <c r="G199" s="75">
        <v>0</v>
      </c>
      <c r="H199" s="75"/>
      <c r="I199" s="75"/>
    </row>
    <row r="200" spans="3:9" x14ac:dyDescent="0.3">
      <c r="C200" s="116"/>
      <c r="D200" s="12" t="s">
        <v>17</v>
      </c>
      <c r="E200" s="12" t="s">
        <v>180</v>
      </c>
      <c r="F200" s="16">
        <v>1251001</v>
      </c>
      <c r="G200" s="75">
        <v>0</v>
      </c>
      <c r="H200" s="75"/>
      <c r="I200" s="75"/>
    </row>
    <row r="201" spans="3:9" x14ac:dyDescent="0.3">
      <c r="C201" s="116"/>
      <c r="D201" s="12" t="s">
        <v>17</v>
      </c>
      <c r="E201" s="12" t="s">
        <v>182</v>
      </c>
      <c r="F201" s="16">
        <v>1251001</v>
      </c>
      <c r="G201" s="75">
        <v>0</v>
      </c>
      <c r="H201" s="75"/>
      <c r="I201" s="75"/>
    </row>
    <row r="202" spans="3:9" x14ac:dyDescent="0.3">
      <c r="C202" s="116"/>
      <c r="D202" s="12" t="s">
        <v>17</v>
      </c>
      <c r="E202" s="12" t="s">
        <v>183</v>
      </c>
      <c r="F202" s="16">
        <v>1251001</v>
      </c>
      <c r="G202" s="75">
        <v>0</v>
      </c>
      <c r="H202" s="75"/>
      <c r="I202" s="75"/>
    </row>
    <row r="203" spans="3:9" x14ac:dyDescent="0.3">
      <c r="C203" s="116"/>
      <c r="D203" s="12" t="s">
        <v>17</v>
      </c>
      <c r="E203" s="12" t="s">
        <v>184</v>
      </c>
      <c r="F203" s="16">
        <v>1251001</v>
      </c>
      <c r="G203" s="75">
        <v>0</v>
      </c>
      <c r="H203" s="75"/>
      <c r="I203" s="75"/>
    </row>
    <row r="204" spans="3:9" x14ac:dyDescent="0.3">
      <c r="C204" s="116"/>
      <c r="D204" s="12" t="s">
        <v>17</v>
      </c>
      <c r="E204" s="12" t="s">
        <v>137</v>
      </c>
      <c r="F204" s="16">
        <v>1251001</v>
      </c>
      <c r="G204" s="75">
        <v>0</v>
      </c>
      <c r="H204" s="75"/>
      <c r="I204" s="75"/>
    </row>
    <row r="205" spans="3:9" x14ac:dyDescent="0.3">
      <c r="C205" s="116"/>
      <c r="D205" s="12" t="s">
        <v>17</v>
      </c>
      <c r="E205" s="12" t="s">
        <v>138</v>
      </c>
      <c r="F205" s="16">
        <v>1251001</v>
      </c>
      <c r="G205" s="75">
        <v>0</v>
      </c>
      <c r="H205" s="75"/>
      <c r="I205" s="75"/>
    </row>
    <row r="206" spans="3:9" x14ac:dyDescent="0.3">
      <c r="C206" s="116"/>
      <c r="D206" s="12" t="s">
        <v>17</v>
      </c>
      <c r="E206" s="12" t="s">
        <v>139</v>
      </c>
      <c r="F206" s="16">
        <v>1251001</v>
      </c>
      <c r="G206" s="75">
        <v>0</v>
      </c>
      <c r="H206" s="75"/>
      <c r="I206" s="75"/>
    </row>
    <row r="207" spans="3:9" x14ac:dyDescent="0.3">
      <c r="C207" s="116"/>
      <c r="D207" s="12" t="s">
        <v>17</v>
      </c>
      <c r="E207" s="12" t="s">
        <v>141</v>
      </c>
      <c r="F207" s="16">
        <v>1251001</v>
      </c>
      <c r="G207" s="75">
        <v>0</v>
      </c>
      <c r="H207" s="75"/>
      <c r="I207" s="75"/>
    </row>
    <row r="208" spans="3:9" x14ac:dyDescent="0.3">
      <c r="C208" s="116"/>
      <c r="D208" s="12" t="s">
        <v>17</v>
      </c>
      <c r="E208" s="12" t="s">
        <v>140</v>
      </c>
      <c r="F208" s="16">
        <v>1251001</v>
      </c>
      <c r="G208" s="75">
        <v>0</v>
      </c>
      <c r="H208" s="75"/>
      <c r="I208" s="75"/>
    </row>
    <row r="209" spans="3:9" x14ac:dyDescent="0.3">
      <c r="C209" s="116"/>
      <c r="D209" s="12" t="s">
        <v>17</v>
      </c>
      <c r="E209" s="12" t="s">
        <v>143</v>
      </c>
      <c r="F209" s="16">
        <v>1251001</v>
      </c>
      <c r="G209" s="75">
        <v>0</v>
      </c>
      <c r="H209" s="75"/>
      <c r="I209" s="75"/>
    </row>
    <row r="210" spans="3:9" x14ac:dyDescent="0.3">
      <c r="C210" s="116"/>
      <c r="D210" s="12" t="s">
        <v>17</v>
      </c>
      <c r="E210" s="12" t="s">
        <v>147</v>
      </c>
      <c r="F210" s="16">
        <v>1251001</v>
      </c>
      <c r="G210" s="75">
        <v>0</v>
      </c>
      <c r="H210" s="75"/>
      <c r="I210" s="75"/>
    </row>
    <row r="211" spans="3:9" x14ac:dyDescent="0.3">
      <c r="C211" s="116"/>
      <c r="D211" s="12" t="s">
        <v>17</v>
      </c>
      <c r="E211" s="12" t="s">
        <v>151</v>
      </c>
      <c r="F211" s="16">
        <v>1251001</v>
      </c>
      <c r="G211" s="75">
        <v>0</v>
      </c>
      <c r="H211" s="75"/>
      <c r="I211" s="75"/>
    </row>
    <row r="212" spans="3:9" x14ac:dyDescent="0.3">
      <c r="C212" s="116"/>
      <c r="D212" s="12" t="s">
        <v>19</v>
      </c>
      <c r="E212" s="14" t="s">
        <v>45</v>
      </c>
      <c r="F212" s="16">
        <v>1251001</v>
      </c>
      <c r="G212" s="75">
        <v>0</v>
      </c>
      <c r="H212" s="75"/>
      <c r="I212" s="75"/>
    </row>
    <row r="213" spans="3:9" x14ac:dyDescent="0.3">
      <c r="C213" s="116"/>
      <c r="D213" s="12" t="s">
        <v>19</v>
      </c>
      <c r="E213" s="12" t="s">
        <v>54</v>
      </c>
      <c r="F213" s="16">
        <v>1251001</v>
      </c>
      <c r="G213" s="75">
        <v>0</v>
      </c>
      <c r="H213" s="75"/>
      <c r="I213" s="75"/>
    </row>
    <row r="214" spans="3:9" x14ac:dyDescent="0.3">
      <c r="C214" s="116"/>
      <c r="D214" s="12" t="s">
        <v>19</v>
      </c>
      <c r="E214" s="12" t="s">
        <v>67</v>
      </c>
      <c r="F214" s="16">
        <v>1251001</v>
      </c>
      <c r="G214" s="75">
        <v>0</v>
      </c>
      <c r="H214" s="75"/>
      <c r="I214" s="75"/>
    </row>
    <row r="215" spans="3:9" x14ac:dyDescent="0.3">
      <c r="C215" s="116"/>
      <c r="D215" s="12" t="s">
        <v>19</v>
      </c>
      <c r="E215" s="12" t="s">
        <v>83</v>
      </c>
      <c r="F215" s="16">
        <v>1251001</v>
      </c>
      <c r="G215" s="75">
        <v>0</v>
      </c>
      <c r="H215" s="75"/>
      <c r="I215" s="75"/>
    </row>
    <row r="216" spans="3:9" x14ac:dyDescent="0.3">
      <c r="C216" s="116"/>
      <c r="D216" s="12" t="s">
        <v>19</v>
      </c>
      <c r="E216" s="12" t="s">
        <v>95</v>
      </c>
      <c r="F216" s="16">
        <v>1251001</v>
      </c>
      <c r="G216" s="75">
        <v>0</v>
      </c>
      <c r="H216" s="75"/>
      <c r="I216" s="75"/>
    </row>
    <row r="217" spans="3:9" x14ac:dyDescent="0.3">
      <c r="C217" s="116"/>
      <c r="D217" s="12" t="s">
        <v>19</v>
      </c>
      <c r="E217" s="12" t="s">
        <v>49</v>
      </c>
      <c r="F217" s="16">
        <v>1251001</v>
      </c>
      <c r="G217" s="75">
        <v>0</v>
      </c>
      <c r="H217" s="75"/>
      <c r="I217" s="75"/>
    </row>
    <row r="218" spans="3:9" x14ac:dyDescent="0.3">
      <c r="C218" s="116"/>
      <c r="D218" s="12" t="s">
        <v>19</v>
      </c>
      <c r="E218" s="12" t="s">
        <v>58</v>
      </c>
      <c r="F218" s="16">
        <v>1251001</v>
      </c>
      <c r="G218" s="75">
        <v>0</v>
      </c>
      <c r="H218" s="75"/>
      <c r="I218" s="75"/>
    </row>
    <row r="219" spans="3:9" x14ac:dyDescent="0.3">
      <c r="C219" s="116"/>
      <c r="D219" s="12" t="s">
        <v>19</v>
      </c>
      <c r="E219" s="12" t="s">
        <v>71</v>
      </c>
      <c r="F219" s="16">
        <v>1251001</v>
      </c>
      <c r="G219" s="75">
        <v>0</v>
      </c>
      <c r="H219" s="75"/>
      <c r="I219" s="75"/>
    </row>
    <row r="220" spans="3:9" x14ac:dyDescent="0.3">
      <c r="C220" s="116"/>
      <c r="D220" s="12" t="s">
        <v>19</v>
      </c>
      <c r="E220" s="12" t="s">
        <v>85</v>
      </c>
      <c r="F220" s="16">
        <v>1251001</v>
      </c>
      <c r="G220" s="75">
        <v>0</v>
      </c>
      <c r="H220" s="75"/>
      <c r="I220" s="75"/>
    </row>
    <row r="221" spans="3:9" x14ac:dyDescent="0.3">
      <c r="C221" s="116"/>
      <c r="D221" s="12" t="s">
        <v>19</v>
      </c>
      <c r="E221" s="12" t="s">
        <v>100</v>
      </c>
      <c r="F221" s="16">
        <v>1251001</v>
      </c>
      <c r="G221" s="75">
        <v>0</v>
      </c>
      <c r="H221" s="75"/>
      <c r="I221" s="75"/>
    </row>
    <row r="222" spans="3:9" x14ac:dyDescent="0.3">
      <c r="C222" s="116"/>
      <c r="D222" s="12" t="s">
        <v>19</v>
      </c>
      <c r="E222" s="12" t="s">
        <v>51</v>
      </c>
      <c r="F222" s="16">
        <v>1251001</v>
      </c>
      <c r="G222" s="75">
        <v>0</v>
      </c>
      <c r="H222" s="75"/>
      <c r="I222" s="75"/>
    </row>
    <row r="223" spans="3:9" x14ac:dyDescent="0.3">
      <c r="C223" s="116"/>
      <c r="D223" s="12" t="s">
        <v>19</v>
      </c>
      <c r="E223" s="12" t="s">
        <v>62</v>
      </c>
      <c r="F223" s="16">
        <v>1251001</v>
      </c>
      <c r="G223" s="75">
        <v>0</v>
      </c>
      <c r="H223" s="75"/>
      <c r="I223" s="75"/>
    </row>
    <row r="224" spans="3:9" x14ac:dyDescent="0.3">
      <c r="C224" s="116"/>
      <c r="D224" s="12" t="s">
        <v>19</v>
      </c>
      <c r="E224" s="12" t="s">
        <v>74</v>
      </c>
      <c r="F224" s="16">
        <v>1251001</v>
      </c>
      <c r="G224" s="75">
        <v>0</v>
      </c>
      <c r="H224" s="75"/>
      <c r="I224" s="75"/>
    </row>
    <row r="225" spans="3:9" x14ac:dyDescent="0.3">
      <c r="C225" s="116"/>
      <c r="D225" s="12" t="s">
        <v>19</v>
      </c>
      <c r="E225" s="12" t="s">
        <v>88</v>
      </c>
      <c r="F225" s="16">
        <v>1251001</v>
      </c>
      <c r="G225" s="75">
        <v>0</v>
      </c>
      <c r="H225" s="75"/>
      <c r="I225" s="75"/>
    </row>
    <row r="226" spans="3:9" x14ac:dyDescent="0.3">
      <c r="C226" s="116"/>
      <c r="D226" s="12" t="s">
        <v>19</v>
      </c>
      <c r="E226" s="12" t="s">
        <v>104</v>
      </c>
      <c r="F226" s="16">
        <v>1251001</v>
      </c>
      <c r="G226" s="75">
        <v>0</v>
      </c>
      <c r="H226" s="75"/>
      <c r="I226" s="75"/>
    </row>
    <row r="227" spans="3:9" x14ac:dyDescent="0.3">
      <c r="C227" s="116"/>
      <c r="D227" s="12" t="s">
        <v>19</v>
      </c>
      <c r="E227" s="12" t="s">
        <v>64</v>
      </c>
      <c r="F227" s="16">
        <v>1251001</v>
      </c>
      <c r="G227" s="75">
        <v>0</v>
      </c>
      <c r="H227" s="75"/>
      <c r="I227" s="75"/>
    </row>
    <row r="228" spans="3:9" x14ac:dyDescent="0.3">
      <c r="C228" s="116"/>
      <c r="D228" s="12" t="s">
        <v>19</v>
      </c>
      <c r="E228" s="12" t="s">
        <v>77</v>
      </c>
      <c r="F228" s="16">
        <v>1251001</v>
      </c>
      <c r="G228" s="75">
        <v>0</v>
      </c>
      <c r="H228" s="75"/>
      <c r="I228" s="75"/>
    </row>
    <row r="229" spans="3:9" x14ac:dyDescent="0.3">
      <c r="C229" s="116"/>
      <c r="D229" s="12" t="s">
        <v>19</v>
      </c>
      <c r="E229" s="12" t="s">
        <v>90</v>
      </c>
      <c r="F229" s="16">
        <v>1251001</v>
      </c>
      <c r="G229" s="75">
        <v>0</v>
      </c>
      <c r="H229" s="75"/>
      <c r="I229" s="75"/>
    </row>
    <row r="230" spans="3:9" x14ac:dyDescent="0.3">
      <c r="C230" s="116"/>
      <c r="D230" s="12" t="s">
        <v>19</v>
      </c>
      <c r="E230" s="12" t="s">
        <v>81</v>
      </c>
      <c r="F230" s="16">
        <v>1251001</v>
      </c>
      <c r="G230" s="75">
        <v>0</v>
      </c>
      <c r="H230" s="75"/>
      <c r="I230" s="75"/>
    </row>
    <row r="231" spans="3:9" x14ac:dyDescent="0.3">
      <c r="C231" s="116"/>
      <c r="D231" s="12" t="s">
        <v>19</v>
      </c>
      <c r="E231" s="12" t="s">
        <v>93</v>
      </c>
      <c r="F231" s="16">
        <v>1251001</v>
      </c>
      <c r="G231" s="75">
        <v>0</v>
      </c>
      <c r="H231" s="75"/>
      <c r="I231" s="75"/>
    </row>
    <row r="232" spans="3:9" x14ac:dyDescent="0.3">
      <c r="C232" s="116"/>
      <c r="D232" s="12" t="s">
        <v>19</v>
      </c>
      <c r="E232" s="12" t="s">
        <v>110</v>
      </c>
      <c r="F232" s="16">
        <v>1251001</v>
      </c>
      <c r="G232" s="75">
        <v>0</v>
      </c>
      <c r="H232" s="75"/>
      <c r="I232" s="75"/>
    </row>
    <row r="233" spans="3:9" x14ac:dyDescent="0.3">
      <c r="C233" s="116"/>
      <c r="D233" s="12" t="s">
        <v>19</v>
      </c>
      <c r="E233" s="12" t="s">
        <v>113</v>
      </c>
      <c r="F233" s="16">
        <v>1251001</v>
      </c>
      <c r="G233" s="75">
        <v>0</v>
      </c>
      <c r="H233" s="75"/>
      <c r="I233" s="75"/>
    </row>
    <row r="234" spans="3:9" x14ac:dyDescent="0.3">
      <c r="C234" s="116"/>
      <c r="D234" s="12" t="s">
        <v>19</v>
      </c>
      <c r="E234" s="12" t="s">
        <v>118</v>
      </c>
      <c r="F234" s="16">
        <v>1251001</v>
      </c>
      <c r="G234" s="75">
        <v>0</v>
      </c>
      <c r="H234" s="75"/>
      <c r="I234" s="75"/>
    </row>
    <row r="235" spans="3:9" x14ac:dyDescent="0.3">
      <c r="C235" s="116"/>
      <c r="D235" s="12" t="s">
        <v>19</v>
      </c>
      <c r="E235" s="12" t="s">
        <v>125</v>
      </c>
      <c r="F235" s="16">
        <v>1251001</v>
      </c>
      <c r="G235" s="75">
        <v>0</v>
      </c>
      <c r="H235" s="75"/>
      <c r="I235" s="75"/>
    </row>
    <row r="236" spans="3:9" x14ac:dyDescent="0.3">
      <c r="C236" s="116"/>
      <c r="D236" s="12" t="s">
        <v>19</v>
      </c>
      <c r="E236" s="12" t="s">
        <v>116</v>
      </c>
      <c r="F236" s="16">
        <v>1251001</v>
      </c>
      <c r="G236" s="75">
        <v>0</v>
      </c>
      <c r="H236" s="75"/>
      <c r="I236" s="75"/>
    </row>
    <row r="237" spans="3:9" x14ac:dyDescent="0.3">
      <c r="C237" s="116"/>
      <c r="D237" s="12" t="s">
        <v>19</v>
      </c>
      <c r="E237" s="12" t="s">
        <v>122</v>
      </c>
      <c r="F237" s="16">
        <v>1251001</v>
      </c>
      <c r="G237" s="75">
        <v>0</v>
      </c>
      <c r="H237" s="75"/>
      <c r="I237" s="75"/>
    </row>
    <row r="238" spans="3:9" x14ac:dyDescent="0.3">
      <c r="C238" s="116"/>
      <c r="D238" s="12" t="s">
        <v>19</v>
      </c>
      <c r="E238" s="12" t="s">
        <v>126</v>
      </c>
      <c r="F238" s="16">
        <v>1251001</v>
      </c>
      <c r="G238" s="75">
        <v>0</v>
      </c>
      <c r="H238" s="75"/>
      <c r="I238" s="75"/>
    </row>
    <row r="239" spans="3:9" x14ac:dyDescent="0.3">
      <c r="C239" s="116"/>
      <c r="D239" s="12" t="s">
        <v>19</v>
      </c>
      <c r="E239" s="12" t="s">
        <v>128</v>
      </c>
      <c r="F239" s="16">
        <v>1251001</v>
      </c>
      <c r="G239" s="75">
        <v>0</v>
      </c>
      <c r="H239" s="75"/>
      <c r="I239" s="75"/>
    </row>
    <row r="240" spans="3:9" x14ac:dyDescent="0.3">
      <c r="C240" s="116"/>
      <c r="D240" s="12" t="s">
        <v>19</v>
      </c>
      <c r="E240" s="12" t="s">
        <v>129</v>
      </c>
      <c r="F240" s="16">
        <v>1251001</v>
      </c>
      <c r="G240" s="75">
        <v>0</v>
      </c>
      <c r="H240" s="75"/>
      <c r="I240" s="75"/>
    </row>
    <row r="241" spans="3:9" x14ac:dyDescent="0.3">
      <c r="C241" s="116"/>
      <c r="D241" s="12" t="s">
        <v>19</v>
      </c>
      <c r="E241" s="12" t="s">
        <v>131</v>
      </c>
      <c r="F241" s="16">
        <v>1251001</v>
      </c>
      <c r="G241" s="75">
        <v>0</v>
      </c>
      <c r="H241" s="75"/>
      <c r="I241" s="75"/>
    </row>
    <row r="242" spans="3:9" x14ac:dyDescent="0.3">
      <c r="C242" s="116"/>
      <c r="D242" s="12" t="s">
        <v>19</v>
      </c>
      <c r="E242" s="12" t="s">
        <v>203</v>
      </c>
      <c r="F242" s="16">
        <v>1251001</v>
      </c>
      <c r="G242" s="75">
        <v>0</v>
      </c>
      <c r="H242" s="75"/>
      <c r="I242" s="75"/>
    </row>
    <row r="243" spans="3:9" x14ac:dyDescent="0.3">
      <c r="C243" s="116"/>
      <c r="D243" s="12" t="s">
        <v>19</v>
      </c>
      <c r="E243" s="12" t="s">
        <v>187</v>
      </c>
      <c r="F243" s="16">
        <v>1251001</v>
      </c>
      <c r="G243" s="75">
        <v>0</v>
      </c>
      <c r="H243" s="75"/>
      <c r="I243" s="75"/>
    </row>
    <row r="244" spans="3:9" x14ac:dyDescent="0.3">
      <c r="C244" s="116"/>
      <c r="D244" s="12" t="s">
        <v>19</v>
      </c>
      <c r="E244" s="12" t="s">
        <v>190</v>
      </c>
      <c r="F244" s="16">
        <v>1251001</v>
      </c>
      <c r="G244" s="75">
        <v>0</v>
      </c>
      <c r="H244" s="75"/>
      <c r="I244" s="75"/>
    </row>
    <row r="245" spans="3:9" x14ac:dyDescent="0.3">
      <c r="C245" s="116"/>
      <c r="D245" s="12" t="s">
        <v>19</v>
      </c>
      <c r="E245" s="12" t="s">
        <v>195</v>
      </c>
      <c r="F245" s="16">
        <v>1251001</v>
      </c>
      <c r="G245" s="75">
        <v>0</v>
      </c>
      <c r="H245" s="75"/>
      <c r="I245" s="75"/>
    </row>
    <row r="246" spans="3:9" x14ac:dyDescent="0.3">
      <c r="C246" s="116"/>
      <c r="D246" s="12" t="s">
        <v>19</v>
      </c>
      <c r="E246" s="12" t="s">
        <v>191</v>
      </c>
      <c r="F246" s="16">
        <v>1251001</v>
      </c>
      <c r="G246" s="75">
        <v>0</v>
      </c>
      <c r="H246" s="75"/>
      <c r="I246" s="75"/>
    </row>
    <row r="247" spans="3:9" x14ac:dyDescent="0.3">
      <c r="C247" s="116"/>
      <c r="D247" s="12" t="s">
        <v>19</v>
      </c>
      <c r="E247" s="12" t="s">
        <v>196</v>
      </c>
      <c r="F247" s="16">
        <v>1251001</v>
      </c>
      <c r="G247" s="75">
        <v>0</v>
      </c>
      <c r="H247" s="75"/>
      <c r="I247" s="75"/>
    </row>
    <row r="248" spans="3:9" x14ac:dyDescent="0.3">
      <c r="C248" s="116"/>
      <c r="D248" s="12" t="s">
        <v>19</v>
      </c>
      <c r="E248" s="12" t="s">
        <v>197</v>
      </c>
      <c r="F248" s="16">
        <v>1251001</v>
      </c>
      <c r="G248" s="75">
        <v>0</v>
      </c>
      <c r="H248" s="75"/>
      <c r="I248" s="75"/>
    </row>
    <row r="249" spans="3:9" x14ac:dyDescent="0.3">
      <c r="C249" s="116"/>
      <c r="D249" s="12" t="s">
        <v>19</v>
      </c>
      <c r="E249" s="12" t="s">
        <v>186</v>
      </c>
      <c r="F249" s="16">
        <v>1251001</v>
      </c>
      <c r="G249" s="75">
        <v>0</v>
      </c>
      <c r="H249" s="75"/>
      <c r="I249" s="75"/>
    </row>
    <row r="250" spans="3:9" x14ac:dyDescent="0.3">
      <c r="C250" s="116"/>
      <c r="D250" s="12" t="s">
        <v>19</v>
      </c>
      <c r="E250" s="12" t="s">
        <v>189</v>
      </c>
      <c r="F250" s="16">
        <v>1251001</v>
      </c>
      <c r="G250" s="75">
        <v>0</v>
      </c>
      <c r="H250" s="75"/>
      <c r="I250" s="75"/>
    </row>
    <row r="251" spans="3:9" x14ac:dyDescent="0.3">
      <c r="C251" s="116"/>
      <c r="D251" s="12" t="s">
        <v>19</v>
      </c>
      <c r="E251" s="12" t="s">
        <v>193</v>
      </c>
      <c r="F251" s="16">
        <v>1251001</v>
      </c>
      <c r="G251" s="75">
        <v>0</v>
      </c>
      <c r="H251" s="75"/>
      <c r="I251" s="75"/>
    </row>
    <row r="252" spans="3:9" x14ac:dyDescent="0.3">
      <c r="C252" s="116"/>
      <c r="D252" s="12" t="s">
        <v>19</v>
      </c>
      <c r="E252" s="12" t="s">
        <v>198</v>
      </c>
      <c r="F252" s="16">
        <v>1251001</v>
      </c>
      <c r="G252" s="75">
        <v>0</v>
      </c>
      <c r="H252" s="75"/>
      <c r="I252" s="75"/>
    </row>
    <row r="253" spans="3:9" x14ac:dyDescent="0.3">
      <c r="C253" s="116"/>
      <c r="D253" s="12" t="s">
        <v>19</v>
      </c>
      <c r="E253" s="12" t="s">
        <v>194</v>
      </c>
      <c r="F253" s="16">
        <v>1251001</v>
      </c>
      <c r="G253" s="75">
        <v>0</v>
      </c>
      <c r="H253" s="75"/>
      <c r="I253" s="75"/>
    </row>
    <row r="254" spans="3:9" x14ac:dyDescent="0.3">
      <c r="C254" s="116"/>
      <c r="D254" s="12" t="s">
        <v>19</v>
      </c>
      <c r="E254" s="12" t="s">
        <v>144</v>
      </c>
      <c r="F254" s="16">
        <v>1251001</v>
      </c>
      <c r="G254" s="75">
        <v>0</v>
      </c>
      <c r="H254" s="75"/>
      <c r="I254" s="75"/>
    </row>
    <row r="255" spans="3:9" x14ac:dyDescent="0.3">
      <c r="C255" s="116"/>
      <c r="D255" s="12" t="s">
        <v>19</v>
      </c>
      <c r="E255" s="12" t="s">
        <v>148</v>
      </c>
      <c r="F255" s="16">
        <v>1251001</v>
      </c>
      <c r="G255" s="75">
        <v>0</v>
      </c>
      <c r="H255" s="75"/>
      <c r="I255" s="75"/>
    </row>
    <row r="256" spans="3:9" x14ac:dyDescent="0.3">
      <c r="C256" s="116"/>
      <c r="D256" s="12" t="s">
        <v>19</v>
      </c>
      <c r="E256" s="12" t="s">
        <v>157</v>
      </c>
      <c r="F256" s="16">
        <v>1251001</v>
      </c>
      <c r="G256" s="75">
        <v>0</v>
      </c>
      <c r="H256" s="75"/>
      <c r="I256" s="75"/>
    </row>
    <row r="257" spans="3:9" x14ac:dyDescent="0.3">
      <c r="C257" s="116"/>
      <c r="D257" s="12" t="s">
        <v>19</v>
      </c>
      <c r="E257" s="12" t="s">
        <v>146</v>
      </c>
      <c r="F257" s="16">
        <v>1251001</v>
      </c>
      <c r="G257" s="75">
        <v>0</v>
      </c>
      <c r="H257" s="75"/>
      <c r="I257" s="75"/>
    </row>
    <row r="258" spans="3:9" x14ac:dyDescent="0.3">
      <c r="C258" s="116"/>
      <c r="D258" s="12" t="s">
        <v>19</v>
      </c>
      <c r="E258" s="12" t="s">
        <v>149</v>
      </c>
      <c r="F258" s="16">
        <v>1251001</v>
      </c>
      <c r="G258" s="75">
        <v>0</v>
      </c>
      <c r="H258" s="75"/>
      <c r="I258" s="75"/>
    </row>
    <row r="259" spans="3:9" x14ac:dyDescent="0.3">
      <c r="C259" s="116"/>
      <c r="D259" s="12" t="s">
        <v>19</v>
      </c>
      <c r="E259" s="12" t="s">
        <v>163</v>
      </c>
      <c r="F259" s="16">
        <v>1251001</v>
      </c>
      <c r="G259" s="75">
        <v>0</v>
      </c>
      <c r="H259" s="75"/>
      <c r="I259" s="75"/>
    </row>
    <row r="260" spans="3:9" x14ac:dyDescent="0.3">
      <c r="C260" s="116"/>
      <c r="D260" s="12" t="s">
        <v>19</v>
      </c>
      <c r="E260" s="12" t="s">
        <v>150</v>
      </c>
      <c r="F260" s="16">
        <v>1251001</v>
      </c>
      <c r="G260" s="75">
        <v>0</v>
      </c>
      <c r="H260" s="75"/>
      <c r="I260" s="75"/>
    </row>
    <row r="261" spans="3:9" x14ac:dyDescent="0.3">
      <c r="C261" s="116"/>
      <c r="D261" s="12" t="s">
        <v>19</v>
      </c>
      <c r="E261" s="12" t="s">
        <v>169</v>
      </c>
      <c r="F261" s="16">
        <v>1251001</v>
      </c>
      <c r="G261" s="75">
        <v>0</v>
      </c>
      <c r="H261" s="75"/>
      <c r="I261" s="75"/>
    </row>
    <row r="262" spans="3:9" x14ac:dyDescent="0.3">
      <c r="C262" s="116"/>
      <c r="D262" s="12" t="s">
        <v>19</v>
      </c>
      <c r="E262" s="12" t="s">
        <v>178</v>
      </c>
      <c r="F262" s="16">
        <v>1251001</v>
      </c>
      <c r="G262" s="75">
        <v>0</v>
      </c>
      <c r="H262" s="75"/>
      <c r="I262" s="75"/>
    </row>
    <row r="263" spans="3:9" x14ac:dyDescent="0.3">
      <c r="C263" s="116"/>
      <c r="D263" s="12" t="s">
        <v>19</v>
      </c>
      <c r="E263" s="12" t="s">
        <v>175</v>
      </c>
      <c r="F263" s="16">
        <v>1251001</v>
      </c>
      <c r="G263" s="75">
        <v>0</v>
      </c>
      <c r="H263" s="75"/>
      <c r="I263" s="75"/>
    </row>
    <row r="264" spans="3:9" x14ac:dyDescent="0.3">
      <c r="C264" s="116"/>
      <c r="D264" s="12" t="s">
        <v>19</v>
      </c>
      <c r="E264" s="12" t="s">
        <v>179</v>
      </c>
      <c r="F264" s="16">
        <v>1251001</v>
      </c>
      <c r="G264" s="75">
        <v>0</v>
      </c>
      <c r="H264" s="75"/>
      <c r="I264" s="75"/>
    </row>
    <row r="265" spans="3:9" x14ac:dyDescent="0.3">
      <c r="C265" s="116"/>
      <c r="D265" s="12" t="s">
        <v>19</v>
      </c>
      <c r="E265" s="12" t="s">
        <v>176</v>
      </c>
      <c r="F265" s="16">
        <v>1251001</v>
      </c>
      <c r="G265" s="75">
        <v>0</v>
      </c>
      <c r="H265" s="75"/>
      <c r="I265" s="75"/>
    </row>
    <row r="266" spans="3:9" x14ac:dyDescent="0.3">
      <c r="C266" s="116"/>
      <c r="D266" s="12" t="s">
        <v>19</v>
      </c>
      <c r="E266" s="12" t="s">
        <v>180</v>
      </c>
      <c r="F266" s="16">
        <v>1251001</v>
      </c>
      <c r="G266" s="75">
        <v>0</v>
      </c>
      <c r="H266" s="75"/>
      <c r="I266" s="75"/>
    </row>
    <row r="267" spans="3:9" x14ac:dyDescent="0.3">
      <c r="C267" s="116"/>
      <c r="D267" s="12" t="s">
        <v>19</v>
      </c>
      <c r="E267" s="12" t="s">
        <v>182</v>
      </c>
      <c r="F267" s="16">
        <v>1251001</v>
      </c>
      <c r="G267" s="75">
        <v>0</v>
      </c>
      <c r="H267" s="75"/>
      <c r="I267" s="75"/>
    </row>
    <row r="268" spans="3:9" x14ac:dyDescent="0.3">
      <c r="C268" s="116"/>
      <c r="D268" s="12" t="s">
        <v>19</v>
      </c>
      <c r="E268" s="12" t="s">
        <v>184</v>
      </c>
      <c r="F268" s="16">
        <v>1251001</v>
      </c>
      <c r="G268" s="75">
        <v>0</v>
      </c>
      <c r="H268" s="75"/>
      <c r="I268" s="75"/>
    </row>
    <row r="269" spans="3:9" x14ac:dyDescent="0.3">
      <c r="C269" s="116"/>
      <c r="D269" s="12" t="s">
        <v>19</v>
      </c>
      <c r="E269" s="12" t="s">
        <v>137</v>
      </c>
      <c r="F269" s="16">
        <v>1251001</v>
      </c>
      <c r="G269" s="75">
        <v>0</v>
      </c>
      <c r="H269" s="75"/>
      <c r="I269" s="75"/>
    </row>
    <row r="270" spans="3:9" x14ac:dyDescent="0.3">
      <c r="C270" s="116"/>
      <c r="D270" s="12" t="s">
        <v>19</v>
      </c>
      <c r="E270" s="12" t="s">
        <v>134</v>
      </c>
      <c r="F270" s="16">
        <v>1251001</v>
      </c>
      <c r="G270" s="75">
        <v>0</v>
      </c>
      <c r="H270" s="75"/>
      <c r="I270" s="75"/>
    </row>
    <row r="271" spans="3:9" x14ac:dyDescent="0.3">
      <c r="C271" s="116"/>
      <c r="D271" s="12" t="s">
        <v>19</v>
      </c>
      <c r="E271" s="12" t="s">
        <v>138</v>
      </c>
      <c r="F271" s="16">
        <v>1251001</v>
      </c>
      <c r="G271" s="75">
        <v>0</v>
      </c>
      <c r="H271" s="75"/>
      <c r="I271" s="75"/>
    </row>
    <row r="272" spans="3:9" x14ac:dyDescent="0.3">
      <c r="C272" s="116"/>
      <c r="D272" s="12" t="s">
        <v>19</v>
      </c>
      <c r="E272" s="12" t="s">
        <v>139</v>
      </c>
      <c r="F272" s="16">
        <v>1251001</v>
      </c>
      <c r="G272" s="75">
        <v>0</v>
      </c>
      <c r="H272" s="75"/>
      <c r="I272" s="75"/>
    </row>
    <row r="273" spans="3:9" x14ac:dyDescent="0.3">
      <c r="C273" s="116"/>
      <c r="D273" s="12" t="s">
        <v>19</v>
      </c>
      <c r="E273" s="12" t="s">
        <v>141</v>
      </c>
      <c r="F273" s="16">
        <v>1251001</v>
      </c>
      <c r="G273" s="75">
        <v>0</v>
      </c>
      <c r="H273" s="75"/>
      <c r="I273" s="75"/>
    </row>
    <row r="274" spans="3:9" x14ac:dyDescent="0.3">
      <c r="C274" s="116"/>
      <c r="D274" s="12" t="s">
        <v>19</v>
      </c>
      <c r="E274" s="12" t="s">
        <v>136</v>
      </c>
      <c r="F274" s="16">
        <v>1251001</v>
      </c>
      <c r="G274" s="75">
        <v>0</v>
      </c>
      <c r="H274" s="75"/>
      <c r="I274" s="75"/>
    </row>
    <row r="275" spans="3:9" x14ac:dyDescent="0.3">
      <c r="C275" s="116"/>
      <c r="D275" s="12" t="s">
        <v>19</v>
      </c>
      <c r="E275" s="12" t="s">
        <v>140</v>
      </c>
      <c r="F275" s="16">
        <v>1251001</v>
      </c>
      <c r="G275" s="75">
        <v>0</v>
      </c>
      <c r="H275" s="75"/>
      <c r="I275" s="75"/>
    </row>
    <row r="276" spans="3:9" x14ac:dyDescent="0.3">
      <c r="C276" s="116"/>
      <c r="D276" s="12" t="s">
        <v>19</v>
      </c>
      <c r="E276" s="12" t="s">
        <v>143</v>
      </c>
      <c r="F276" s="16">
        <v>1251001</v>
      </c>
      <c r="G276" s="75">
        <v>0</v>
      </c>
      <c r="H276" s="75"/>
      <c r="I276" s="75"/>
    </row>
    <row r="277" spans="3:9" x14ac:dyDescent="0.3">
      <c r="C277" s="116"/>
      <c r="D277" s="12" t="s">
        <v>19</v>
      </c>
      <c r="E277" s="12" t="s">
        <v>147</v>
      </c>
      <c r="F277" s="16">
        <v>1251001</v>
      </c>
      <c r="G277" s="75">
        <v>0</v>
      </c>
      <c r="H277" s="75"/>
      <c r="I277" s="75"/>
    </row>
    <row r="278" spans="3:9" x14ac:dyDescent="0.3">
      <c r="C278" s="116"/>
      <c r="D278" s="12" t="s">
        <v>19</v>
      </c>
      <c r="E278" s="12" t="s">
        <v>151</v>
      </c>
      <c r="F278" s="16">
        <v>1251001</v>
      </c>
      <c r="G278" s="75">
        <v>0</v>
      </c>
      <c r="H278" s="75"/>
      <c r="I278" s="75"/>
    </row>
    <row r="279" spans="3:9" x14ac:dyDescent="0.3">
      <c r="C279" s="116"/>
      <c r="D279" s="12" t="s">
        <v>18</v>
      </c>
      <c r="E279" s="16" t="s">
        <v>45</v>
      </c>
      <c r="F279" s="16">
        <v>1251001</v>
      </c>
      <c r="G279" s="75">
        <v>0</v>
      </c>
      <c r="H279" s="75"/>
      <c r="I279" s="75"/>
    </row>
    <row r="280" spans="3:9" x14ac:dyDescent="0.3">
      <c r="C280" s="116"/>
      <c r="D280" s="12" t="s">
        <v>18</v>
      </c>
      <c r="E280" s="12" t="s">
        <v>54</v>
      </c>
      <c r="F280" s="16">
        <v>1251001</v>
      </c>
      <c r="G280" s="75">
        <v>0</v>
      </c>
      <c r="H280" s="75"/>
      <c r="I280" s="75"/>
    </row>
    <row r="281" spans="3:9" x14ac:dyDescent="0.3">
      <c r="C281" s="116"/>
      <c r="D281" s="12" t="s">
        <v>18</v>
      </c>
      <c r="E281" s="12" t="s">
        <v>67</v>
      </c>
      <c r="F281" s="16">
        <v>1251001</v>
      </c>
      <c r="G281" s="75">
        <v>0</v>
      </c>
      <c r="H281" s="75"/>
      <c r="I281" s="75"/>
    </row>
    <row r="282" spans="3:9" x14ac:dyDescent="0.3">
      <c r="C282" s="116"/>
      <c r="D282" s="12" t="s">
        <v>18</v>
      </c>
      <c r="E282" s="12" t="s">
        <v>83</v>
      </c>
      <c r="F282" s="16">
        <v>1251001</v>
      </c>
      <c r="G282" s="75">
        <v>0</v>
      </c>
      <c r="H282" s="75"/>
      <c r="I282" s="75"/>
    </row>
    <row r="283" spans="3:9" x14ac:dyDescent="0.3">
      <c r="C283" s="116"/>
      <c r="D283" s="12" t="s">
        <v>18</v>
      </c>
      <c r="E283" s="12" t="s">
        <v>95</v>
      </c>
      <c r="F283" s="16">
        <v>1251001</v>
      </c>
      <c r="G283" s="75">
        <v>0</v>
      </c>
      <c r="H283" s="75"/>
      <c r="I283" s="75"/>
    </row>
    <row r="284" spans="3:9" x14ac:dyDescent="0.3">
      <c r="C284" s="116"/>
      <c r="D284" s="12" t="s">
        <v>18</v>
      </c>
      <c r="E284" s="12" t="s">
        <v>49</v>
      </c>
      <c r="F284" s="16">
        <v>1251001</v>
      </c>
      <c r="G284" s="75">
        <v>0</v>
      </c>
      <c r="H284" s="75"/>
      <c r="I284" s="75"/>
    </row>
    <row r="285" spans="3:9" x14ac:dyDescent="0.3">
      <c r="C285" s="116"/>
      <c r="D285" s="12" t="s">
        <v>18</v>
      </c>
      <c r="E285" s="12" t="s">
        <v>58</v>
      </c>
      <c r="F285" s="16">
        <v>1251001</v>
      </c>
      <c r="G285" s="75">
        <v>0</v>
      </c>
      <c r="H285" s="75"/>
      <c r="I285" s="75"/>
    </row>
    <row r="286" spans="3:9" x14ac:dyDescent="0.3">
      <c r="C286" s="116"/>
      <c r="D286" s="12" t="s">
        <v>18</v>
      </c>
      <c r="E286" s="12" t="s">
        <v>71</v>
      </c>
      <c r="F286" s="16">
        <v>1251001</v>
      </c>
      <c r="G286" s="75">
        <v>0</v>
      </c>
      <c r="H286" s="75"/>
      <c r="I286" s="75"/>
    </row>
    <row r="287" spans="3:9" x14ac:dyDescent="0.3">
      <c r="C287" s="116"/>
      <c r="D287" s="12" t="s">
        <v>18</v>
      </c>
      <c r="E287" s="12" t="s">
        <v>85</v>
      </c>
      <c r="F287" s="16">
        <v>1251001</v>
      </c>
      <c r="G287" s="75">
        <v>0</v>
      </c>
      <c r="H287" s="75"/>
      <c r="I287" s="75"/>
    </row>
    <row r="288" spans="3:9" x14ac:dyDescent="0.3">
      <c r="C288" s="116"/>
      <c r="D288" s="12" t="s">
        <v>18</v>
      </c>
      <c r="E288" s="12" t="s">
        <v>100</v>
      </c>
      <c r="F288" s="16">
        <v>1251001</v>
      </c>
      <c r="G288" s="75">
        <v>0</v>
      </c>
      <c r="H288" s="75"/>
      <c r="I288" s="75"/>
    </row>
    <row r="289" spans="3:9" x14ac:dyDescent="0.3">
      <c r="C289" s="116"/>
      <c r="D289" s="12" t="s">
        <v>18</v>
      </c>
      <c r="E289" s="12" t="s">
        <v>51</v>
      </c>
      <c r="F289" s="16">
        <v>1251001</v>
      </c>
      <c r="G289" s="75">
        <v>0</v>
      </c>
      <c r="H289" s="75"/>
      <c r="I289" s="75"/>
    </row>
    <row r="290" spans="3:9" x14ac:dyDescent="0.3">
      <c r="C290" s="116"/>
      <c r="D290" s="12" t="s">
        <v>18</v>
      </c>
      <c r="E290" s="12" t="s">
        <v>62</v>
      </c>
      <c r="F290" s="16">
        <v>1251001</v>
      </c>
      <c r="G290" s="75">
        <v>0</v>
      </c>
      <c r="H290" s="75"/>
      <c r="I290" s="75"/>
    </row>
    <row r="291" spans="3:9" x14ac:dyDescent="0.3">
      <c r="C291" s="116"/>
      <c r="D291" s="12" t="s">
        <v>18</v>
      </c>
      <c r="E291" s="12" t="s">
        <v>74</v>
      </c>
      <c r="F291" s="16">
        <v>1251001</v>
      </c>
      <c r="G291" s="75">
        <v>0</v>
      </c>
      <c r="H291" s="75"/>
      <c r="I291" s="75"/>
    </row>
    <row r="292" spans="3:9" x14ac:dyDescent="0.3">
      <c r="C292" s="116"/>
      <c r="D292" s="12" t="s">
        <v>18</v>
      </c>
      <c r="E292" s="12" t="s">
        <v>88</v>
      </c>
      <c r="F292" s="16">
        <v>1251001</v>
      </c>
      <c r="G292" s="75">
        <v>0</v>
      </c>
      <c r="H292" s="75"/>
      <c r="I292" s="75"/>
    </row>
    <row r="293" spans="3:9" x14ac:dyDescent="0.3">
      <c r="C293" s="116"/>
      <c r="D293" s="12" t="s">
        <v>18</v>
      </c>
      <c r="E293" s="12" t="s">
        <v>104</v>
      </c>
      <c r="F293" s="16">
        <v>1251001</v>
      </c>
      <c r="G293" s="75">
        <v>0</v>
      </c>
      <c r="H293" s="75"/>
      <c r="I293" s="75"/>
    </row>
    <row r="294" spans="3:9" x14ac:dyDescent="0.3">
      <c r="C294" s="116"/>
      <c r="D294" s="12" t="s">
        <v>18</v>
      </c>
      <c r="E294" s="12" t="s">
        <v>64</v>
      </c>
      <c r="F294" s="16">
        <v>1251001</v>
      </c>
      <c r="G294" s="75">
        <v>0</v>
      </c>
      <c r="H294" s="75"/>
      <c r="I294" s="75"/>
    </row>
    <row r="295" spans="3:9" x14ac:dyDescent="0.3">
      <c r="C295" s="116"/>
      <c r="D295" s="12" t="s">
        <v>18</v>
      </c>
      <c r="E295" s="12" t="s">
        <v>77</v>
      </c>
      <c r="F295" s="16">
        <v>1251001</v>
      </c>
      <c r="G295" s="75">
        <v>0</v>
      </c>
      <c r="H295" s="75"/>
      <c r="I295" s="75"/>
    </row>
    <row r="296" spans="3:9" x14ac:dyDescent="0.3">
      <c r="C296" s="116"/>
      <c r="D296" s="12" t="s">
        <v>18</v>
      </c>
      <c r="E296" s="12" t="s">
        <v>90</v>
      </c>
      <c r="F296" s="16">
        <v>1251001</v>
      </c>
      <c r="G296" s="75">
        <v>0</v>
      </c>
      <c r="H296" s="75"/>
      <c r="I296" s="75"/>
    </row>
    <row r="297" spans="3:9" x14ac:dyDescent="0.3">
      <c r="C297" s="116"/>
      <c r="D297" s="12" t="s">
        <v>18</v>
      </c>
      <c r="E297" s="12" t="s">
        <v>68</v>
      </c>
      <c r="F297" s="16">
        <v>1251001</v>
      </c>
      <c r="G297" s="75">
        <v>0</v>
      </c>
      <c r="H297" s="75"/>
      <c r="I297" s="75"/>
    </row>
    <row r="298" spans="3:9" x14ac:dyDescent="0.3">
      <c r="C298" s="116"/>
      <c r="D298" s="12" t="s">
        <v>18</v>
      </c>
      <c r="E298" s="12" t="s">
        <v>81</v>
      </c>
      <c r="F298" s="16">
        <v>1251001</v>
      </c>
      <c r="G298" s="75">
        <v>0</v>
      </c>
      <c r="H298" s="75"/>
      <c r="I298" s="75"/>
    </row>
    <row r="299" spans="3:9" x14ac:dyDescent="0.3">
      <c r="C299" s="116"/>
      <c r="D299" s="12" t="s">
        <v>18</v>
      </c>
      <c r="E299" s="12" t="s">
        <v>93</v>
      </c>
      <c r="F299" s="16">
        <v>1251001</v>
      </c>
      <c r="G299" s="75">
        <v>0</v>
      </c>
      <c r="H299" s="75"/>
      <c r="I299" s="75"/>
    </row>
    <row r="300" spans="3:9" x14ac:dyDescent="0.3">
      <c r="C300" s="116"/>
      <c r="D300" s="12" t="s">
        <v>18</v>
      </c>
      <c r="E300" s="12" t="s">
        <v>110</v>
      </c>
      <c r="F300" s="16">
        <v>1251001</v>
      </c>
      <c r="G300" s="75">
        <v>0</v>
      </c>
      <c r="H300" s="75"/>
      <c r="I300" s="75"/>
    </row>
    <row r="301" spans="3:9" x14ac:dyDescent="0.3">
      <c r="C301" s="116"/>
      <c r="D301" s="12" t="s">
        <v>18</v>
      </c>
      <c r="E301" s="12" t="s">
        <v>113</v>
      </c>
      <c r="F301" s="16">
        <v>1251001</v>
      </c>
      <c r="G301" s="75">
        <v>0</v>
      </c>
      <c r="H301" s="75"/>
      <c r="I301" s="75"/>
    </row>
    <row r="302" spans="3:9" x14ac:dyDescent="0.3">
      <c r="C302" s="116"/>
      <c r="D302" s="12" t="s">
        <v>18</v>
      </c>
      <c r="E302" s="12" t="s">
        <v>118</v>
      </c>
      <c r="F302" s="16">
        <v>1251001</v>
      </c>
      <c r="G302" s="75">
        <v>0</v>
      </c>
      <c r="H302" s="75"/>
      <c r="I302" s="75"/>
    </row>
    <row r="303" spans="3:9" x14ac:dyDescent="0.3">
      <c r="C303" s="116"/>
      <c r="D303" s="12" t="s">
        <v>18</v>
      </c>
      <c r="E303" s="12" t="s">
        <v>125</v>
      </c>
      <c r="F303" s="16">
        <v>1251001</v>
      </c>
      <c r="G303" s="75">
        <v>0</v>
      </c>
      <c r="H303" s="75"/>
      <c r="I303" s="75"/>
    </row>
    <row r="304" spans="3:9" x14ac:dyDescent="0.3">
      <c r="C304" s="116"/>
      <c r="D304" s="12" t="s">
        <v>18</v>
      </c>
      <c r="E304" s="12" t="s">
        <v>116</v>
      </c>
      <c r="F304" s="16">
        <v>1251001</v>
      </c>
      <c r="G304" s="75">
        <v>0</v>
      </c>
      <c r="H304" s="75"/>
      <c r="I304" s="75"/>
    </row>
    <row r="305" spans="3:9" x14ac:dyDescent="0.3">
      <c r="C305" s="116"/>
      <c r="D305" s="12" t="s">
        <v>18</v>
      </c>
      <c r="E305" s="12" t="s">
        <v>122</v>
      </c>
      <c r="F305" s="16">
        <v>1251001</v>
      </c>
      <c r="G305" s="75">
        <v>0</v>
      </c>
      <c r="H305" s="75"/>
      <c r="I305" s="75"/>
    </row>
    <row r="306" spans="3:9" x14ac:dyDescent="0.3">
      <c r="C306" s="116"/>
      <c r="D306" s="12" t="s">
        <v>18</v>
      </c>
      <c r="E306" s="12" t="s">
        <v>126</v>
      </c>
      <c r="F306" s="16">
        <v>1251001</v>
      </c>
      <c r="G306" s="75">
        <v>0</v>
      </c>
      <c r="H306" s="75"/>
      <c r="I306" s="75"/>
    </row>
    <row r="307" spans="3:9" x14ac:dyDescent="0.3">
      <c r="C307" s="116"/>
      <c r="D307" s="12" t="s">
        <v>18</v>
      </c>
      <c r="E307" s="12" t="s">
        <v>128</v>
      </c>
      <c r="F307" s="16">
        <v>1251001</v>
      </c>
      <c r="G307" s="75">
        <v>0</v>
      </c>
      <c r="H307" s="75"/>
      <c r="I307" s="75"/>
    </row>
    <row r="308" spans="3:9" x14ac:dyDescent="0.3">
      <c r="C308" s="116"/>
      <c r="D308" s="12" t="s">
        <v>18</v>
      </c>
      <c r="E308" s="12" t="s">
        <v>129</v>
      </c>
      <c r="F308" s="16">
        <v>1251001</v>
      </c>
      <c r="G308" s="75">
        <v>0</v>
      </c>
      <c r="H308" s="75"/>
      <c r="I308" s="75"/>
    </row>
    <row r="309" spans="3:9" x14ac:dyDescent="0.3">
      <c r="C309" s="116"/>
      <c r="D309" s="12" t="s">
        <v>18</v>
      </c>
      <c r="E309" s="12" t="s">
        <v>131</v>
      </c>
      <c r="F309" s="16">
        <v>1251001</v>
      </c>
      <c r="G309" s="75">
        <v>0</v>
      </c>
      <c r="H309" s="75"/>
      <c r="I309" s="75"/>
    </row>
    <row r="310" spans="3:9" x14ac:dyDescent="0.3">
      <c r="C310" s="116"/>
      <c r="D310" s="12" t="s">
        <v>18</v>
      </c>
      <c r="E310" s="12" t="s">
        <v>203</v>
      </c>
      <c r="F310" s="16">
        <v>1251001</v>
      </c>
      <c r="G310" s="75">
        <v>0</v>
      </c>
      <c r="H310" s="75"/>
      <c r="I310" s="75"/>
    </row>
    <row r="311" spans="3:9" x14ac:dyDescent="0.3">
      <c r="C311" s="116"/>
      <c r="D311" s="12" t="s">
        <v>18</v>
      </c>
      <c r="E311" s="12" t="s">
        <v>190</v>
      </c>
      <c r="F311" s="16">
        <v>1251001</v>
      </c>
      <c r="G311" s="75">
        <v>0</v>
      </c>
      <c r="H311" s="75"/>
      <c r="I311" s="75"/>
    </row>
    <row r="312" spans="3:9" x14ac:dyDescent="0.3">
      <c r="C312" s="116"/>
      <c r="D312" s="12" t="s">
        <v>18</v>
      </c>
      <c r="E312" s="12" t="s">
        <v>195</v>
      </c>
      <c r="F312" s="16">
        <v>1251001</v>
      </c>
      <c r="G312" s="75">
        <v>0</v>
      </c>
      <c r="H312" s="75"/>
      <c r="I312" s="75"/>
    </row>
    <row r="313" spans="3:9" x14ac:dyDescent="0.3">
      <c r="C313" s="116"/>
      <c r="D313" s="12" t="s">
        <v>18</v>
      </c>
      <c r="E313" s="12" t="s">
        <v>191</v>
      </c>
      <c r="F313" s="16">
        <v>1251001</v>
      </c>
      <c r="G313" s="75">
        <v>0</v>
      </c>
      <c r="H313" s="75"/>
      <c r="I313" s="75"/>
    </row>
    <row r="314" spans="3:9" x14ac:dyDescent="0.3">
      <c r="C314" s="116"/>
      <c r="D314" s="12" t="s">
        <v>18</v>
      </c>
      <c r="E314" s="12" t="s">
        <v>196</v>
      </c>
      <c r="F314" s="16">
        <v>1251001</v>
      </c>
      <c r="G314" s="75">
        <v>0</v>
      </c>
      <c r="H314" s="75"/>
      <c r="I314" s="75"/>
    </row>
    <row r="315" spans="3:9" x14ac:dyDescent="0.3">
      <c r="C315" s="116"/>
      <c r="D315" s="12" t="s">
        <v>18</v>
      </c>
      <c r="E315" s="12" t="s">
        <v>197</v>
      </c>
      <c r="F315" s="16">
        <v>1251001</v>
      </c>
      <c r="G315" s="75">
        <v>0</v>
      </c>
      <c r="H315" s="75"/>
      <c r="I315" s="75"/>
    </row>
    <row r="316" spans="3:9" x14ac:dyDescent="0.3">
      <c r="C316" s="116"/>
      <c r="D316" s="12" t="s">
        <v>18</v>
      </c>
      <c r="E316" s="12" t="s">
        <v>186</v>
      </c>
      <c r="F316" s="16">
        <v>1251001</v>
      </c>
      <c r="G316" s="75">
        <v>0</v>
      </c>
      <c r="H316" s="75"/>
      <c r="I316" s="75"/>
    </row>
    <row r="317" spans="3:9" x14ac:dyDescent="0.3">
      <c r="C317" s="116"/>
      <c r="D317" s="12" t="s">
        <v>18</v>
      </c>
      <c r="E317" s="12" t="s">
        <v>189</v>
      </c>
      <c r="F317" s="16">
        <v>1251001</v>
      </c>
      <c r="G317" s="75">
        <v>0</v>
      </c>
      <c r="H317" s="75"/>
      <c r="I317" s="75"/>
    </row>
    <row r="318" spans="3:9" x14ac:dyDescent="0.3">
      <c r="C318" s="116"/>
      <c r="D318" s="12" t="s">
        <v>18</v>
      </c>
      <c r="E318" s="12" t="s">
        <v>193</v>
      </c>
      <c r="F318" s="16">
        <v>1251001</v>
      </c>
      <c r="G318" s="75">
        <v>0</v>
      </c>
      <c r="H318" s="75"/>
      <c r="I318" s="75"/>
    </row>
    <row r="319" spans="3:9" x14ac:dyDescent="0.3">
      <c r="C319" s="116"/>
      <c r="D319" s="12" t="s">
        <v>18</v>
      </c>
      <c r="E319" s="12" t="s">
        <v>198</v>
      </c>
      <c r="F319" s="16">
        <v>1251001</v>
      </c>
      <c r="G319" s="75">
        <v>0</v>
      </c>
      <c r="H319" s="75"/>
      <c r="I319" s="75"/>
    </row>
    <row r="320" spans="3:9" x14ac:dyDescent="0.3">
      <c r="C320" s="116"/>
      <c r="D320" s="12" t="s">
        <v>18</v>
      </c>
      <c r="E320" s="12" t="s">
        <v>194</v>
      </c>
      <c r="F320" s="16">
        <v>1251001</v>
      </c>
      <c r="G320" s="75">
        <v>0</v>
      </c>
      <c r="H320" s="75"/>
      <c r="I320" s="75"/>
    </row>
    <row r="321" spans="3:9" x14ac:dyDescent="0.3">
      <c r="C321" s="116"/>
      <c r="D321" s="12" t="s">
        <v>18</v>
      </c>
      <c r="E321" s="12" t="s">
        <v>144</v>
      </c>
      <c r="F321" s="16">
        <v>1251001</v>
      </c>
      <c r="G321" s="75">
        <v>0</v>
      </c>
      <c r="H321" s="75"/>
      <c r="I321" s="75"/>
    </row>
    <row r="322" spans="3:9" x14ac:dyDescent="0.3">
      <c r="C322" s="116"/>
      <c r="D322" s="12" t="s">
        <v>18</v>
      </c>
      <c r="E322" s="12" t="s">
        <v>148</v>
      </c>
      <c r="F322" s="16">
        <v>1251001</v>
      </c>
      <c r="G322" s="75">
        <v>0</v>
      </c>
      <c r="H322" s="75"/>
      <c r="I322" s="75"/>
    </row>
    <row r="323" spans="3:9" x14ac:dyDescent="0.3">
      <c r="C323" s="116"/>
      <c r="D323" s="12" t="s">
        <v>18</v>
      </c>
      <c r="E323" s="12" t="s">
        <v>157</v>
      </c>
      <c r="F323" s="16">
        <v>1251001</v>
      </c>
      <c r="G323" s="75">
        <v>0</v>
      </c>
      <c r="H323" s="75"/>
      <c r="I323" s="75"/>
    </row>
    <row r="324" spans="3:9" x14ac:dyDescent="0.3">
      <c r="C324" s="116"/>
      <c r="D324" s="12" t="s">
        <v>18</v>
      </c>
      <c r="E324" s="12" t="s">
        <v>146</v>
      </c>
      <c r="F324" s="16">
        <v>1251001</v>
      </c>
      <c r="G324" s="75">
        <v>0</v>
      </c>
      <c r="H324" s="75"/>
      <c r="I324" s="75"/>
    </row>
    <row r="325" spans="3:9" x14ac:dyDescent="0.3">
      <c r="C325" s="116"/>
      <c r="D325" s="12" t="s">
        <v>18</v>
      </c>
      <c r="E325" s="12" t="s">
        <v>149</v>
      </c>
      <c r="F325" s="16">
        <v>1251001</v>
      </c>
      <c r="G325" s="75">
        <v>0</v>
      </c>
      <c r="H325" s="75"/>
      <c r="I325" s="75"/>
    </row>
    <row r="326" spans="3:9" x14ac:dyDescent="0.3">
      <c r="C326" s="116"/>
      <c r="D326" s="12" t="s">
        <v>18</v>
      </c>
      <c r="E326" s="12" t="s">
        <v>163</v>
      </c>
      <c r="F326" s="16">
        <v>1251001</v>
      </c>
      <c r="G326" s="75">
        <v>0</v>
      </c>
      <c r="H326" s="75"/>
      <c r="I326" s="75"/>
    </row>
    <row r="327" spans="3:9" x14ac:dyDescent="0.3">
      <c r="C327" s="116"/>
      <c r="D327" s="12" t="s">
        <v>18</v>
      </c>
      <c r="E327" s="12" t="s">
        <v>150</v>
      </c>
      <c r="F327" s="16">
        <v>1251001</v>
      </c>
      <c r="G327" s="75">
        <v>0</v>
      </c>
      <c r="H327" s="75"/>
      <c r="I327" s="75"/>
    </row>
    <row r="328" spans="3:9" x14ac:dyDescent="0.3">
      <c r="C328" s="116"/>
      <c r="D328" s="12" t="s">
        <v>18</v>
      </c>
      <c r="E328" s="12" t="s">
        <v>169</v>
      </c>
      <c r="F328" s="16">
        <v>1251001</v>
      </c>
      <c r="G328" s="75">
        <v>0</v>
      </c>
      <c r="H328" s="75"/>
      <c r="I328" s="75"/>
    </row>
    <row r="329" spans="3:9" x14ac:dyDescent="0.3">
      <c r="C329" s="116"/>
      <c r="D329" s="12" t="s">
        <v>18</v>
      </c>
      <c r="E329" s="12" t="s">
        <v>178</v>
      </c>
      <c r="F329" s="16">
        <v>1251001</v>
      </c>
      <c r="G329" s="75">
        <v>0</v>
      </c>
      <c r="H329" s="75"/>
      <c r="I329" s="75"/>
    </row>
    <row r="330" spans="3:9" x14ac:dyDescent="0.3">
      <c r="C330" s="116"/>
      <c r="D330" s="12" t="s">
        <v>18</v>
      </c>
      <c r="E330" s="12" t="s">
        <v>175</v>
      </c>
      <c r="F330" s="16">
        <v>1251001</v>
      </c>
      <c r="G330" s="75">
        <v>0</v>
      </c>
      <c r="H330" s="75"/>
      <c r="I330" s="75"/>
    </row>
    <row r="331" spans="3:9" x14ac:dyDescent="0.3">
      <c r="C331" s="116"/>
      <c r="D331" s="12" t="s">
        <v>18</v>
      </c>
      <c r="E331" s="12" t="s">
        <v>179</v>
      </c>
      <c r="F331" s="16">
        <v>1251001</v>
      </c>
      <c r="G331" s="75">
        <v>0</v>
      </c>
      <c r="H331" s="75"/>
      <c r="I331" s="75"/>
    </row>
    <row r="332" spans="3:9" x14ac:dyDescent="0.3">
      <c r="C332" s="116"/>
      <c r="D332" s="12" t="s">
        <v>18</v>
      </c>
      <c r="E332" s="12" t="s">
        <v>181</v>
      </c>
      <c r="F332" s="16">
        <v>1251001</v>
      </c>
      <c r="G332" s="75">
        <v>0</v>
      </c>
      <c r="H332" s="75"/>
      <c r="I332" s="75"/>
    </row>
    <row r="333" spans="3:9" x14ac:dyDescent="0.3">
      <c r="C333" s="116"/>
      <c r="D333" s="12" t="s">
        <v>18</v>
      </c>
      <c r="E333" s="12" t="s">
        <v>176</v>
      </c>
      <c r="F333" s="16">
        <v>1251001</v>
      </c>
      <c r="G333" s="75">
        <v>0</v>
      </c>
      <c r="H333" s="75"/>
      <c r="I333" s="75"/>
    </row>
    <row r="334" spans="3:9" x14ac:dyDescent="0.3">
      <c r="C334" s="116"/>
      <c r="D334" s="12" t="s">
        <v>18</v>
      </c>
      <c r="E334" s="12" t="s">
        <v>180</v>
      </c>
      <c r="F334" s="16">
        <v>1251001</v>
      </c>
      <c r="G334" s="75">
        <v>0</v>
      </c>
      <c r="H334" s="75"/>
      <c r="I334" s="75"/>
    </row>
    <row r="335" spans="3:9" x14ac:dyDescent="0.3">
      <c r="C335" s="116"/>
      <c r="D335" s="12" t="s">
        <v>18</v>
      </c>
      <c r="E335" s="12" t="s">
        <v>182</v>
      </c>
      <c r="F335" s="16">
        <v>1251001</v>
      </c>
      <c r="G335" s="75">
        <v>0</v>
      </c>
      <c r="H335" s="75"/>
      <c r="I335" s="75"/>
    </row>
    <row r="336" spans="3:9" x14ac:dyDescent="0.3">
      <c r="C336" s="116"/>
      <c r="D336" s="12" t="s">
        <v>18</v>
      </c>
      <c r="E336" s="12" t="s">
        <v>183</v>
      </c>
      <c r="F336" s="16">
        <v>1251001</v>
      </c>
      <c r="G336" s="75">
        <v>0</v>
      </c>
      <c r="H336" s="75"/>
      <c r="I336" s="75"/>
    </row>
    <row r="337" spans="3:9" x14ac:dyDescent="0.3">
      <c r="C337" s="116"/>
      <c r="D337" s="12" t="s">
        <v>18</v>
      </c>
      <c r="E337" s="12" t="s">
        <v>184</v>
      </c>
      <c r="F337" s="16">
        <v>1251001</v>
      </c>
      <c r="G337" s="75">
        <v>0</v>
      </c>
      <c r="H337" s="75"/>
      <c r="I337" s="75"/>
    </row>
    <row r="338" spans="3:9" x14ac:dyDescent="0.3">
      <c r="C338" s="116"/>
      <c r="D338" s="12" t="s">
        <v>18</v>
      </c>
      <c r="E338" s="12" t="s">
        <v>137</v>
      </c>
      <c r="F338" s="16">
        <v>1251001</v>
      </c>
      <c r="G338" s="75">
        <v>0</v>
      </c>
      <c r="H338" s="75"/>
      <c r="I338" s="75"/>
    </row>
    <row r="339" spans="3:9" x14ac:dyDescent="0.3">
      <c r="C339" s="116"/>
      <c r="D339" s="12" t="s">
        <v>18</v>
      </c>
      <c r="E339" s="12" t="s">
        <v>138</v>
      </c>
      <c r="F339" s="16">
        <v>1251001</v>
      </c>
      <c r="G339" s="75">
        <v>0</v>
      </c>
      <c r="H339" s="75"/>
      <c r="I339" s="75"/>
    </row>
    <row r="340" spans="3:9" x14ac:dyDescent="0.3">
      <c r="C340" s="116"/>
      <c r="D340" s="12" t="s">
        <v>18</v>
      </c>
      <c r="E340" s="12" t="s">
        <v>139</v>
      </c>
      <c r="F340" s="16">
        <v>1251001</v>
      </c>
      <c r="G340" s="75">
        <v>0</v>
      </c>
      <c r="H340" s="75"/>
      <c r="I340" s="75"/>
    </row>
    <row r="341" spans="3:9" x14ac:dyDescent="0.3">
      <c r="C341" s="116"/>
      <c r="D341" s="12" t="s">
        <v>18</v>
      </c>
      <c r="E341" s="12" t="s">
        <v>141</v>
      </c>
      <c r="F341" s="16">
        <v>1251001</v>
      </c>
      <c r="G341" s="75">
        <v>0</v>
      </c>
      <c r="H341" s="75"/>
      <c r="I341" s="75"/>
    </row>
    <row r="342" spans="3:9" x14ac:dyDescent="0.3">
      <c r="C342" s="116"/>
      <c r="D342" s="12" t="s">
        <v>18</v>
      </c>
      <c r="E342" s="12" t="s">
        <v>140</v>
      </c>
      <c r="F342" s="16">
        <v>1251001</v>
      </c>
      <c r="G342" s="75">
        <v>0</v>
      </c>
      <c r="H342" s="75"/>
      <c r="I342" s="75"/>
    </row>
    <row r="343" spans="3:9" x14ac:dyDescent="0.3">
      <c r="C343" s="116"/>
      <c r="D343" s="12" t="s">
        <v>18</v>
      </c>
      <c r="E343" s="12" t="s">
        <v>143</v>
      </c>
      <c r="F343" s="16">
        <v>1251001</v>
      </c>
      <c r="G343" s="75">
        <v>0</v>
      </c>
      <c r="H343" s="75"/>
      <c r="I343" s="75"/>
    </row>
    <row r="344" spans="3:9" x14ac:dyDescent="0.3">
      <c r="C344" s="116"/>
      <c r="D344" s="12" t="s">
        <v>18</v>
      </c>
      <c r="E344" s="12" t="s">
        <v>147</v>
      </c>
      <c r="F344" s="16">
        <v>1251001</v>
      </c>
      <c r="G344" s="75">
        <v>0</v>
      </c>
      <c r="H344" s="75"/>
      <c r="I344" s="75"/>
    </row>
    <row r="345" spans="3:9" x14ac:dyDescent="0.3">
      <c r="C345" s="116"/>
      <c r="D345" s="12" t="s">
        <v>18</v>
      </c>
      <c r="E345" s="12" t="s">
        <v>151</v>
      </c>
      <c r="F345" s="16">
        <v>1251001</v>
      </c>
      <c r="G345" s="75">
        <v>0</v>
      </c>
      <c r="H345" s="75"/>
      <c r="I345" s="75"/>
    </row>
    <row r="346" spans="3:9" x14ac:dyDescent="0.3">
      <c r="C346" s="116"/>
      <c r="D346" s="12"/>
      <c r="E346" s="12"/>
      <c r="F346" s="12"/>
      <c r="G346" s="75"/>
      <c r="H346" s="75"/>
      <c r="I346" s="75"/>
    </row>
    <row r="347" spans="3:9" x14ac:dyDescent="0.3">
      <c r="C347" s="116"/>
      <c r="D347" s="12"/>
      <c r="E347" s="12"/>
      <c r="F347" s="12"/>
      <c r="G347" s="75"/>
      <c r="H347" s="75"/>
      <c r="I347" s="75"/>
    </row>
    <row r="348" spans="3:9" x14ac:dyDescent="0.3">
      <c r="C348" s="116"/>
      <c r="D348" s="12"/>
      <c r="E348" s="12"/>
      <c r="F348" s="12"/>
      <c r="G348" s="75"/>
      <c r="H348" s="75"/>
      <c r="I348" s="75"/>
    </row>
    <row r="349" spans="3:9" x14ac:dyDescent="0.3">
      <c r="C349" s="116"/>
      <c r="D349" s="12"/>
      <c r="E349" s="12"/>
      <c r="F349" s="12"/>
      <c r="G349" s="75"/>
      <c r="H349" s="75"/>
      <c r="I349" s="75"/>
    </row>
    <row r="350" spans="3:9" x14ac:dyDescent="0.3">
      <c r="C350" s="116"/>
      <c r="D350" s="12"/>
      <c r="E350" s="12"/>
      <c r="F350" s="12"/>
      <c r="G350" s="75"/>
      <c r="H350" s="75"/>
      <c r="I350" s="75"/>
    </row>
    <row r="351" spans="3:9" x14ac:dyDescent="0.3">
      <c r="H351" s="75"/>
    </row>
    <row r="352" spans="3:9" x14ac:dyDescent="0.3">
      <c r="H352" s="75"/>
    </row>
    <row r="353" spans="8:8" x14ac:dyDescent="0.3">
      <c r="H353" s="75"/>
    </row>
    <row r="354" spans="8:8" x14ac:dyDescent="0.3">
      <c r="H354" s="75"/>
    </row>
    <row r="355" spans="8:8" x14ac:dyDescent="0.3">
      <c r="H355" s="75"/>
    </row>
    <row r="356" spans="8:8" x14ac:dyDescent="0.3">
      <c r="H356" s="75"/>
    </row>
    <row r="357" spans="8:8" x14ac:dyDescent="0.3">
      <c r="H357" s="75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Outfitter</vt:lpstr>
      <vt:lpstr>Outfitter!Print_Titles</vt:lpstr>
      <vt:lpstr>Select_All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Devore, Gary</dc:creator>
  <cp:keywords/>
  <dc:description/>
  <cp:lastModifiedBy>Gary Devore</cp:lastModifiedBy>
  <cp:revision/>
  <cp:lastPrinted>2025-10-29T19:18:55Z</cp:lastPrinted>
  <dcterms:created xsi:type="dcterms:W3CDTF">2019-04-08T19:23:16Z</dcterms:created>
  <dcterms:modified xsi:type="dcterms:W3CDTF">2025-10-29T19:19:29Z</dcterms:modified>
  <cp:category/>
  <cp:contentStatus/>
</cp:coreProperties>
</file>